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37e2f110a8b8f85a/EModelFactory/03 Marketing/Blogs/Wind Energy AI Model/"/>
    </mc:Choice>
  </mc:AlternateContent>
  <xr:revisionPtr revIDLastSave="0" documentId="14_{C152BE30-F9F5-4370-AE08-5A442AA65020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Assumptions" sheetId="1" r:id="rId1"/>
    <sheet name="Timeline" sheetId="2" r:id="rId2"/>
    <sheet name="Revenue" sheetId="3" r:id="rId3"/>
    <sheet name="OpEx" sheetId="4" r:id="rId4"/>
    <sheet name="Capex_Depr" sheetId="5" r:id="rId5"/>
    <sheet name="Financing" sheetId="6" r:id="rId6"/>
    <sheet name="Working_Capital" sheetId="7" r:id="rId7"/>
    <sheet name="Financials" sheetId="8" r:id="rId8"/>
    <sheet name="Ratios_Valuation" sheetId="9" r:id="rId9"/>
    <sheet name="Scenarios" sheetId="10" r:id="rId10"/>
    <sheet name="Dashboard" sheetId="11" r:id="rId11"/>
  </sheets>
  <calcPr calcId="191029" iterateDelta="1E-4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" i="5" l="1"/>
  <c r="C6" i="5" s="1"/>
  <c r="C4" i="6" s="1"/>
  <c r="C5" i="6" s="1"/>
  <c r="C10" i="6" s="1"/>
  <c r="C23" i="8" s="1"/>
  <c r="N9" i="4"/>
  <c r="F8" i="4"/>
  <c r="Q7" i="4"/>
  <c r="B13" i="11"/>
  <c r="B6" i="11"/>
  <c r="B30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B22" i="6"/>
  <c r="B21" i="6"/>
  <c r="B24" i="6" s="1"/>
  <c r="B12" i="6" s="1"/>
  <c r="B24" i="8" s="1"/>
  <c r="C20" i="6"/>
  <c r="B20" i="6"/>
  <c r="C16" i="6"/>
  <c r="C9" i="8" s="1"/>
  <c r="C8" i="9" s="1"/>
  <c r="B16" i="6"/>
  <c r="R11" i="6"/>
  <c r="R14" i="5" s="1"/>
  <c r="Q11" i="6"/>
  <c r="Q14" i="5" s="1"/>
  <c r="P11" i="6"/>
  <c r="P14" i="5" s="1"/>
  <c r="O11" i="6"/>
  <c r="O14" i="5" s="1"/>
  <c r="N11" i="6"/>
  <c r="N14" i="5" s="1"/>
  <c r="M11" i="6"/>
  <c r="M14" i="5" s="1"/>
  <c r="L11" i="6"/>
  <c r="L14" i="5" s="1"/>
  <c r="K11" i="6"/>
  <c r="K14" i="5" s="1"/>
  <c r="J11" i="6"/>
  <c r="J14" i="5" s="1"/>
  <c r="I11" i="6"/>
  <c r="I14" i="5" s="1"/>
  <c r="H11" i="6"/>
  <c r="H14" i="5" s="1"/>
  <c r="G11" i="6"/>
  <c r="G14" i="5" s="1"/>
  <c r="F11" i="6"/>
  <c r="F14" i="5" s="1"/>
  <c r="E11" i="6"/>
  <c r="E14" i="5" s="1"/>
  <c r="D11" i="6"/>
  <c r="D14" i="5" s="1"/>
  <c r="B9" i="6"/>
  <c r="R16" i="5"/>
  <c r="Q16" i="5"/>
  <c r="P16" i="5"/>
  <c r="O16" i="5"/>
  <c r="N16" i="5"/>
  <c r="M16" i="5"/>
  <c r="L16" i="5"/>
  <c r="K16" i="5"/>
  <c r="J16" i="5"/>
  <c r="I16" i="5"/>
  <c r="C16" i="5"/>
  <c r="B16" i="5"/>
  <c r="R10" i="5"/>
  <c r="Q10" i="5"/>
  <c r="P10" i="5"/>
  <c r="O10" i="5"/>
  <c r="N10" i="5"/>
  <c r="M10" i="5"/>
  <c r="L10" i="5"/>
  <c r="K10" i="5"/>
  <c r="J10" i="5"/>
  <c r="I10" i="5"/>
  <c r="C10" i="5"/>
  <c r="B10" i="5"/>
  <c r="B11" i="5" s="1"/>
  <c r="R6" i="5"/>
  <c r="O6" i="5"/>
  <c r="M6" i="5"/>
  <c r="M21" i="8" s="1"/>
  <c r="M22" i="8" s="1"/>
  <c r="K6" i="5"/>
  <c r="H6" i="5"/>
  <c r="G6" i="5"/>
  <c r="R5" i="5"/>
  <c r="Q5" i="5"/>
  <c r="P5" i="5"/>
  <c r="P6" i="5" s="1"/>
  <c r="P21" i="8" s="1"/>
  <c r="P22" i="8" s="1"/>
  <c r="O5" i="5"/>
  <c r="N5" i="5"/>
  <c r="M5" i="5"/>
  <c r="L5" i="5"/>
  <c r="K5" i="5"/>
  <c r="J5" i="5"/>
  <c r="I5" i="5"/>
  <c r="H5" i="5"/>
  <c r="G5" i="5"/>
  <c r="F5" i="5"/>
  <c r="E5" i="5"/>
  <c r="D5" i="5"/>
  <c r="D6" i="5" s="1"/>
  <c r="B5" i="5"/>
  <c r="B9" i="5" s="1"/>
  <c r="R4" i="5"/>
  <c r="Q4" i="5"/>
  <c r="Q6" i="5" s="1"/>
  <c r="P4" i="5"/>
  <c r="O4" i="5"/>
  <c r="N4" i="5"/>
  <c r="N6" i="5" s="1"/>
  <c r="M4" i="5"/>
  <c r="L4" i="5"/>
  <c r="K4" i="5"/>
  <c r="J4" i="5"/>
  <c r="J6" i="5" s="1"/>
  <c r="J21" i="8" s="1"/>
  <c r="J22" i="8" s="1"/>
  <c r="I4" i="5"/>
  <c r="H4" i="5"/>
  <c r="G4" i="5"/>
  <c r="F4" i="5"/>
  <c r="F6" i="5" s="1"/>
  <c r="E4" i="5"/>
  <c r="E6" i="5" s="1"/>
  <c r="D4" i="5"/>
  <c r="C4" i="5"/>
  <c r="B4" i="5"/>
  <c r="N25" i="4"/>
  <c r="L25" i="4"/>
  <c r="K25" i="4"/>
  <c r="G25" i="4"/>
  <c r="B25" i="4"/>
  <c r="C24" i="4"/>
  <c r="B24" i="4"/>
  <c r="N20" i="4"/>
  <c r="M20" i="4"/>
  <c r="H20" i="4"/>
  <c r="C20" i="4"/>
  <c r="B20" i="4"/>
  <c r="R19" i="4"/>
  <c r="H19" i="4"/>
  <c r="B19" i="4"/>
  <c r="B15" i="4"/>
  <c r="B14" i="4"/>
  <c r="C13" i="4"/>
  <c r="B13" i="4"/>
  <c r="B16" i="4" s="1"/>
  <c r="B9" i="4"/>
  <c r="Q8" i="4"/>
  <c r="N8" i="4"/>
  <c r="C8" i="4"/>
  <c r="B8" i="4"/>
  <c r="B7" i="4"/>
  <c r="R4" i="4"/>
  <c r="Q4" i="4"/>
  <c r="P4" i="4"/>
  <c r="O4" i="4"/>
  <c r="N4" i="4"/>
  <c r="M4" i="4"/>
  <c r="L4" i="4"/>
  <c r="K4" i="4"/>
  <c r="J4" i="4"/>
  <c r="I4" i="4"/>
  <c r="H4" i="4"/>
  <c r="G4" i="4"/>
  <c r="G19" i="4" s="1"/>
  <c r="F4" i="4"/>
  <c r="E4" i="4"/>
  <c r="D4" i="4"/>
  <c r="C4" i="4"/>
  <c r="B4" i="4"/>
  <c r="R3" i="4"/>
  <c r="Q3" i="4"/>
  <c r="P3" i="4"/>
  <c r="P20" i="4" s="1"/>
  <c r="O3" i="4"/>
  <c r="N3" i="4"/>
  <c r="M3" i="4"/>
  <c r="M25" i="4" s="1"/>
  <c r="L3" i="4"/>
  <c r="K3" i="4"/>
  <c r="J3" i="4"/>
  <c r="I3" i="4"/>
  <c r="H3" i="4"/>
  <c r="G3" i="4"/>
  <c r="F3" i="4"/>
  <c r="E3" i="4"/>
  <c r="D3" i="4"/>
  <c r="D19" i="4" s="1"/>
  <c r="C3" i="4"/>
  <c r="B3" i="4"/>
  <c r="B21" i="4" s="1"/>
  <c r="C28" i="3"/>
  <c r="C27" i="3"/>
  <c r="M23" i="3"/>
  <c r="L23" i="3"/>
  <c r="B23" i="3"/>
  <c r="C19" i="3"/>
  <c r="B19" i="3"/>
  <c r="E18" i="3"/>
  <c r="C18" i="3"/>
  <c r="O16" i="3"/>
  <c r="N16" i="3"/>
  <c r="N17" i="3" s="1"/>
  <c r="M16" i="3"/>
  <c r="L16" i="3"/>
  <c r="J16" i="3"/>
  <c r="C16" i="3"/>
  <c r="C13" i="3"/>
  <c r="B13" i="3"/>
  <c r="R12" i="3"/>
  <c r="M12" i="3"/>
  <c r="H12" i="3"/>
  <c r="G12" i="3"/>
  <c r="F12" i="3"/>
  <c r="E12" i="3"/>
  <c r="O10" i="3"/>
  <c r="N10" i="3"/>
  <c r="M10" i="3"/>
  <c r="H10" i="3"/>
  <c r="C10" i="3"/>
  <c r="B10" i="3"/>
  <c r="Q9" i="3"/>
  <c r="F9" i="3"/>
  <c r="O8" i="3"/>
  <c r="J8" i="3"/>
  <c r="H8" i="3"/>
  <c r="B8" i="3"/>
  <c r="O7" i="3"/>
  <c r="N7" i="3"/>
  <c r="M7" i="3"/>
  <c r="L7" i="3"/>
  <c r="F7" i="3"/>
  <c r="C7" i="3"/>
  <c r="B7" i="3"/>
  <c r="R4" i="3"/>
  <c r="R23" i="3" s="1"/>
  <c r="Q4" i="3"/>
  <c r="Q23" i="3" s="1"/>
  <c r="P4" i="3"/>
  <c r="P10" i="3" s="1"/>
  <c r="O4" i="3"/>
  <c r="N4" i="3"/>
  <c r="M4" i="3"/>
  <c r="L4" i="3"/>
  <c r="K4" i="3"/>
  <c r="J4" i="3"/>
  <c r="I4" i="3"/>
  <c r="H4" i="3"/>
  <c r="H23" i="3" s="1"/>
  <c r="G4" i="3"/>
  <c r="G16" i="3" s="1"/>
  <c r="G17" i="3" s="1"/>
  <c r="F4" i="3"/>
  <c r="F18" i="3" s="1"/>
  <c r="E4" i="3"/>
  <c r="E16" i="3" s="1"/>
  <c r="D4" i="3"/>
  <c r="D18" i="3" s="1"/>
  <c r="C4" i="3"/>
  <c r="B4" i="3"/>
  <c r="R3" i="3"/>
  <c r="R8" i="3" s="1"/>
  <c r="Q3" i="3"/>
  <c r="P3" i="3"/>
  <c r="O3" i="3"/>
  <c r="N3" i="3"/>
  <c r="N23" i="3" s="1"/>
  <c r="M3" i="3"/>
  <c r="M18" i="3" s="1"/>
  <c r="L3" i="3"/>
  <c r="K3" i="3"/>
  <c r="J3" i="3"/>
  <c r="I3" i="3"/>
  <c r="H3" i="3"/>
  <c r="G3" i="3"/>
  <c r="F3" i="3"/>
  <c r="E3" i="3"/>
  <c r="D3" i="3"/>
  <c r="C3" i="3"/>
  <c r="B3" i="3"/>
  <c r="B16" i="3" s="1"/>
  <c r="B12" i="1"/>
  <c r="B4" i="11" s="1"/>
  <c r="C11" i="5" l="1"/>
  <c r="N18" i="5"/>
  <c r="N7" i="8" s="1"/>
  <c r="P18" i="5"/>
  <c r="P18" i="8" s="1"/>
  <c r="B18" i="5"/>
  <c r="B18" i="8" s="1"/>
  <c r="K18" i="5"/>
  <c r="K7" i="8" s="1"/>
  <c r="B6" i="5"/>
  <c r="B21" i="8" s="1"/>
  <c r="B22" i="8" s="1"/>
  <c r="M9" i="4"/>
  <c r="D9" i="4"/>
  <c r="H9" i="4"/>
  <c r="K9" i="4"/>
  <c r="R8" i="4"/>
  <c r="E8" i="4"/>
  <c r="F7" i="4"/>
  <c r="N7" i="4"/>
  <c r="R7" i="4"/>
  <c r="J18" i="5"/>
  <c r="J7" i="8" s="1"/>
  <c r="H7" i="4"/>
  <c r="I18" i="5"/>
  <c r="I7" i="8" s="1"/>
  <c r="K7" i="4"/>
  <c r="B10" i="4"/>
  <c r="N10" i="4"/>
  <c r="R18" i="5"/>
  <c r="R18" i="8" s="1"/>
  <c r="B17" i="5"/>
  <c r="C17" i="5" s="1"/>
  <c r="M18" i="5"/>
  <c r="M18" i="8" s="1"/>
  <c r="C18" i="5"/>
  <c r="C18" i="8" s="1"/>
  <c r="O18" i="5"/>
  <c r="O7" i="8" s="1"/>
  <c r="L18" i="5"/>
  <c r="L18" i="8" s="1"/>
  <c r="Q18" i="5"/>
  <c r="Q7" i="8" s="1"/>
  <c r="E21" i="8"/>
  <c r="E22" i="8" s="1"/>
  <c r="E4" i="6"/>
  <c r="I20" i="4"/>
  <c r="I19" i="4"/>
  <c r="I25" i="4"/>
  <c r="I7" i="4"/>
  <c r="B4" i="6"/>
  <c r="N21" i="8"/>
  <c r="N22" i="8" s="1"/>
  <c r="N4" i="6"/>
  <c r="D9" i="3"/>
  <c r="P18" i="3"/>
  <c r="I23" i="3"/>
  <c r="J23" i="3"/>
  <c r="J7" i="3"/>
  <c r="J13" i="3" s="1"/>
  <c r="J20" i="3" s="1"/>
  <c r="J26" i="3" s="1"/>
  <c r="I8" i="3"/>
  <c r="E9" i="3"/>
  <c r="R9" i="3"/>
  <c r="R11" i="3" s="1"/>
  <c r="Q18" i="3"/>
  <c r="K23" i="3"/>
  <c r="J8" i="4"/>
  <c r="J25" i="4"/>
  <c r="H21" i="8"/>
  <c r="H22" i="8" s="1"/>
  <c r="H4" i="6"/>
  <c r="L9" i="3"/>
  <c r="G9" i="3"/>
  <c r="L19" i="4"/>
  <c r="L20" i="4"/>
  <c r="P7" i="3"/>
  <c r="P13" i="3" s="1"/>
  <c r="P20" i="3" s="1"/>
  <c r="L8" i="3"/>
  <c r="H9" i="3"/>
  <c r="H11" i="3" s="1"/>
  <c r="D10" i="3"/>
  <c r="Q10" i="3"/>
  <c r="J12" i="3"/>
  <c r="G18" i="3"/>
  <c r="G19" i="3" s="1"/>
  <c r="E7" i="4"/>
  <c r="G9" i="4"/>
  <c r="J20" i="4"/>
  <c r="F21" i="8"/>
  <c r="F22" i="8" s="1"/>
  <c r="F4" i="6"/>
  <c r="O4" i="6"/>
  <c r="O21" i="8"/>
  <c r="O22" i="8" s="1"/>
  <c r="M4" i="6"/>
  <c r="K16" i="3"/>
  <c r="K17" i="3" s="1"/>
  <c r="K19" i="3" s="1"/>
  <c r="R18" i="3"/>
  <c r="K21" i="8"/>
  <c r="K22" i="8" s="1"/>
  <c r="K4" i="6"/>
  <c r="J17" i="3"/>
  <c r="Q7" i="3"/>
  <c r="M8" i="3"/>
  <c r="M11" i="3" s="1"/>
  <c r="M13" i="3" s="1"/>
  <c r="M20" i="3" s="1"/>
  <c r="M26" i="3" s="1"/>
  <c r="I9" i="3"/>
  <c r="I11" i="3" s="1"/>
  <c r="R10" i="3"/>
  <c r="K12" i="3"/>
  <c r="L17" i="3"/>
  <c r="R21" i="8"/>
  <c r="R22" i="8" s="1"/>
  <c r="R4" i="6"/>
  <c r="P4" i="6"/>
  <c r="B11" i="3"/>
  <c r="B26" i="3"/>
  <c r="D7" i="3"/>
  <c r="D13" i="3" s="1"/>
  <c r="E10" i="3"/>
  <c r="E11" i="3" s="1"/>
  <c r="P16" i="3"/>
  <c r="H18" i="3"/>
  <c r="P23" i="3"/>
  <c r="C20" i="3"/>
  <c r="C23" i="3"/>
  <c r="O23" i="3"/>
  <c r="E7" i="3"/>
  <c r="R7" i="3"/>
  <c r="N8" i="3"/>
  <c r="N11" i="3" s="1"/>
  <c r="N13" i="3" s="1"/>
  <c r="J9" i="3"/>
  <c r="J11" i="3" s="1"/>
  <c r="F10" i="3"/>
  <c r="C11" i="3"/>
  <c r="L12" i="3"/>
  <c r="D16" i="3"/>
  <c r="D17" i="3" s="1"/>
  <c r="D19" i="3" s="1"/>
  <c r="Q16" i="3"/>
  <c r="Q17" i="3" s="1"/>
  <c r="M17" i="3"/>
  <c r="M19" i="3" s="1"/>
  <c r="I18" i="3"/>
  <c r="B20" i="3"/>
  <c r="B27" i="3"/>
  <c r="B28" i="3"/>
  <c r="C26" i="4"/>
  <c r="C25" i="4"/>
  <c r="C14" i="4"/>
  <c r="C7" i="4"/>
  <c r="C9" i="4"/>
  <c r="C15" i="4"/>
  <c r="O25" i="4"/>
  <c r="O20" i="4"/>
  <c r="O19" i="4"/>
  <c r="O21" i="4" s="1"/>
  <c r="O7" i="4"/>
  <c r="O9" i="4"/>
  <c r="G7" i="4"/>
  <c r="G8" i="4"/>
  <c r="I9" i="4"/>
  <c r="C19" i="4"/>
  <c r="J18" i="3"/>
  <c r="Q21" i="8"/>
  <c r="Q22" i="8" s="1"/>
  <c r="Q4" i="6"/>
  <c r="R16" i="3"/>
  <c r="C4" i="8"/>
  <c r="C4" i="7"/>
  <c r="C7" i="7" s="1"/>
  <c r="I8" i="4"/>
  <c r="D21" i="8"/>
  <c r="D22" i="8" s="1"/>
  <c r="D4" i="6"/>
  <c r="E8" i="3"/>
  <c r="Q8" i="3"/>
  <c r="Q11" i="3" s="1"/>
  <c r="Q19" i="3"/>
  <c r="G7" i="3"/>
  <c r="C8" i="3"/>
  <c r="P8" i="3"/>
  <c r="P11" i="3" s="1"/>
  <c r="M9" i="3"/>
  <c r="I10" i="3"/>
  <c r="N12" i="3"/>
  <c r="F16" i="3"/>
  <c r="B17" i="3"/>
  <c r="O17" i="3"/>
  <c r="K18" i="3"/>
  <c r="D23" i="3"/>
  <c r="C26" i="3"/>
  <c r="E9" i="4"/>
  <c r="E20" i="4"/>
  <c r="E19" i="4"/>
  <c r="Q9" i="4"/>
  <c r="Q10" i="4" s="1"/>
  <c r="Q25" i="4"/>
  <c r="J7" i="4"/>
  <c r="L8" i="4"/>
  <c r="L9" i="4"/>
  <c r="Q20" i="4"/>
  <c r="P19" i="4"/>
  <c r="P21" i="4" s="1"/>
  <c r="P25" i="4"/>
  <c r="P7" i="4"/>
  <c r="P8" i="4"/>
  <c r="B12" i="3"/>
  <c r="C17" i="3"/>
  <c r="P17" i="3"/>
  <c r="P19" i="3" s="1"/>
  <c r="L18" i="3"/>
  <c r="E23" i="3"/>
  <c r="F25" i="4"/>
  <c r="F20" i="4"/>
  <c r="F21" i="4" s="1"/>
  <c r="F9" i="4"/>
  <c r="F19" i="4"/>
  <c r="R25" i="4"/>
  <c r="R20" i="4"/>
  <c r="R21" i="4" s="1"/>
  <c r="R9" i="4"/>
  <c r="M8" i="4"/>
  <c r="C21" i="4"/>
  <c r="I12" i="3"/>
  <c r="K9" i="3"/>
  <c r="D11" i="3"/>
  <c r="D25" i="4"/>
  <c r="D7" i="4"/>
  <c r="D20" i="4"/>
  <c r="D21" i="4" s="1"/>
  <c r="D8" i="4"/>
  <c r="J9" i="4"/>
  <c r="H7" i="3"/>
  <c r="N9" i="3"/>
  <c r="O12" i="3"/>
  <c r="G10" i="3"/>
  <c r="G23" i="3"/>
  <c r="B9" i="3"/>
  <c r="K10" i="3"/>
  <c r="P12" i="3"/>
  <c r="J19" i="4"/>
  <c r="L6" i="5"/>
  <c r="K8" i="3"/>
  <c r="K11" i="3" s="1"/>
  <c r="F17" i="3"/>
  <c r="F19" i="3" s="1"/>
  <c r="R17" i="3"/>
  <c r="D8" i="3"/>
  <c r="J10" i="3"/>
  <c r="I7" i="3"/>
  <c r="F8" i="3"/>
  <c r="F11" i="3" s="1"/>
  <c r="F13" i="3" s="1"/>
  <c r="F20" i="3" s="1"/>
  <c r="O9" i="3"/>
  <c r="O11" i="3" s="1"/>
  <c r="O13" i="3" s="1"/>
  <c r="C12" i="3"/>
  <c r="H16" i="3"/>
  <c r="H17" i="3" s="1"/>
  <c r="N18" i="3"/>
  <c r="N19" i="3" s="1"/>
  <c r="J19" i="3"/>
  <c r="F23" i="3"/>
  <c r="L7" i="4"/>
  <c r="H19" i="3"/>
  <c r="K7" i="3"/>
  <c r="G8" i="3"/>
  <c r="G11" i="3" s="1"/>
  <c r="C9" i="3"/>
  <c r="P9" i="3"/>
  <c r="L10" i="3"/>
  <c r="D12" i="3"/>
  <c r="Q12" i="3"/>
  <c r="I16" i="3"/>
  <c r="I17" i="3" s="1"/>
  <c r="I19" i="3" s="1"/>
  <c r="E17" i="3"/>
  <c r="E19" i="3" s="1"/>
  <c r="B18" i="3"/>
  <c r="O18" i="3"/>
  <c r="H25" i="4"/>
  <c r="H8" i="4"/>
  <c r="H21" i="4"/>
  <c r="O8" i="4"/>
  <c r="P9" i="4"/>
  <c r="Q19" i="4"/>
  <c r="I21" i="4"/>
  <c r="E25" i="4"/>
  <c r="G20" i="4"/>
  <c r="G21" i="4" s="1"/>
  <c r="I6" i="5"/>
  <c r="B5" i="11" s="1"/>
  <c r="C6" i="6"/>
  <c r="C25" i="8" s="1"/>
  <c r="B12" i="5"/>
  <c r="K20" i="4"/>
  <c r="K19" i="4"/>
  <c r="M7" i="4"/>
  <c r="M10" i="4" s="1"/>
  <c r="K21" i="4"/>
  <c r="C9" i="5"/>
  <c r="B25" i="6"/>
  <c r="B17" i="6" s="1"/>
  <c r="B9" i="8"/>
  <c r="B8" i="9" s="1"/>
  <c r="C21" i="8"/>
  <c r="C22" i="8" s="1"/>
  <c r="M19" i="4"/>
  <c r="M21" i="4" s="1"/>
  <c r="N19" i="4"/>
  <c r="N21" i="4" s="1"/>
  <c r="K8" i="4"/>
  <c r="B26" i="4"/>
  <c r="G21" i="8"/>
  <c r="G22" i="8" s="1"/>
  <c r="G4" i="6"/>
  <c r="J4" i="6"/>
  <c r="H10" i="4" l="1"/>
  <c r="K18" i="8"/>
  <c r="B29" i="4"/>
  <c r="B5" i="7" s="1"/>
  <c r="K10" i="4"/>
  <c r="B7" i="8"/>
  <c r="P7" i="8"/>
  <c r="N18" i="8"/>
  <c r="Q21" i="4"/>
  <c r="J18" i="8"/>
  <c r="M7" i="8"/>
  <c r="I18" i="8"/>
  <c r="R10" i="4"/>
  <c r="O18" i="8"/>
  <c r="D10" i="4"/>
  <c r="O10" i="4"/>
  <c r="L7" i="8"/>
  <c r="L10" i="4"/>
  <c r="R7" i="8"/>
  <c r="Q18" i="8"/>
  <c r="F10" i="4"/>
  <c r="P26" i="3"/>
  <c r="P24" i="4" s="1"/>
  <c r="P26" i="4" s="1"/>
  <c r="C16" i="4"/>
  <c r="C7" i="8"/>
  <c r="F26" i="3"/>
  <c r="F24" i="4" s="1"/>
  <c r="F26" i="4" s="1"/>
  <c r="M27" i="3"/>
  <c r="M28" i="3" s="1"/>
  <c r="M24" i="4"/>
  <c r="M26" i="4" s="1"/>
  <c r="N20" i="3"/>
  <c r="N26" i="3" s="1"/>
  <c r="D20" i="3"/>
  <c r="D26" i="3" s="1"/>
  <c r="O20" i="3"/>
  <c r="O26" i="3" s="1"/>
  <c r="J27" i="3"/>
  <c r="J28" i="3"/>
  <c r="J24" i="4"/>
  <c r="J26" i="4" s="1"/>
  <c r="I13" i="3"/>
  <c r="I20" i="3" s="1"/>
  <c r="I26" i="3" s="1"/>
  <c r="K13" i="3"/>
  <c r="K20" i="3" s="1"/>
  <c r="K26" i="3" s="1"/>
  <c r="L19" i="3"/>
  <c r="H5" i="6"/>
  <c r="H10" i="6" s="1"/>
  <c r="H23" i="8" s="1"/>
  <c r="H6" i="6"/>
  <c r="H25" i="8" s="1"/>
  <c r="N5" i="6"/>
  <c r="N10" i="6" s="1"/>
  <c r="N23" i="8" s="1"/>
  <c r="N6" i="6"/>
  <c r="N25" i="8" s="1"/>
  <c r="O19" i="3"/>
  <c r="R13" i="3"/>
  <c r="L11" i="3"/>
  <c r="L13" i="3" s="1"/>
  <c r="C35" i="8"/>
  <c r="E13" i="3"/>
  <c r="E20" i="3" s="1"/>
  <c r="E26" i="3" s="1"/>
  <c r="M5" i="6"/>
  <c r="M10" i="6" s="1"/>
  <c r="M23" i="8" s="1"/>
  <c r="M6" i="6"/>
  <c r="M25" i="8" s="1"/>
  <c r="C5" i="9"/>
  <c r="C4" i="9"/>
  <c r="E10" i="4"/>
  <c r="E21" i="4"/>
  <c r="Q13" i="3"/>
  <c r="Q20" i="3" s="1"/>
  <c r="Q26" i="3" s="1"/>
  <c r="I10" i="4"/>
  <c r="J21" i="4"/>
  <c r="J5" i="6"/>
  <c r="J10" i="6" s="1"/>
  <c r="J23" i="8" s="1"/>
  <c r="J6" i="6"/>
  <c r="J25" i="8" s="1"/>
  <c r="L21" i="4"/>
  <c r="B4" i="8"/>
  <c r="B4" i="7"/>
  <c r="B7" i="7" s="1"/>
  <c r="L21" i="8"/>
  <c r="L22" i="8" s="1"/>
  <c r="L4" i="6"/>
  <c r="H13" i="3"/>
  <c r="H20" i="3" s="1"/>
  <c r="H26" i="3" s="1"/>
  <c r="B5" i="6"/>
  <c r="B6" i="6"/>
  <c r="B25" i="8" s="1"/>
  <c r="I21" i="8"/>
  <c r="I22" i="8" s="1"/>
  <c r="I4" i="6"/>
  <c r="G6" i="6"/>
  <c r="G25" i="8" s="1"/>
  <c r="G5" i="6"/>
  <c r="G10" i="6" s="1"/>
  <c r="G23" i="8" s="1"/>
  <c r="P6" i="6"/>
  <c r="P25" i="8" s="1"/>
  <c r="P5" i="6"/>
  <c r="P10" i="6" s="1"/>
  <c r="P23" i="8" s="1"/>
  <c r="K5" i="6"/>
  <c r="K10" i="6" s="1"/>
  <c r="K23" i="8" s="1"/>
  <c r="K6" i="6"/>
  <c r="K25" i="8" s="1"/>
  <c r="O5" i="6"/>
  <c r="O10" i="6" s="1"/>
  <c r="O23" i="8" s="1"/>
  <c r="O6" i="6"/>
  <c r="O25" i="8" s="1"/>
  <c r="F5" i="6"/>
  <c r="F10" i="6" s="1"/>
  <c r="F23" i="8" s="1"/>
  <c r="F6" i="6"/>
  <c r="F25" i="8" s="1"/>
  <c r="D9" i="5"/>
  <c r="C12" i="5"/>
  <c r="G13" i="3"/>
  <c r="G20" i="3" s="1"/>
  <c r="G26" i="3" s="1"/>
  <c r="B23" i="11"/>
  <c r="B9" i="9"/>
  <c r="D6" i="6"/>
  <c r="D25" i="8" s="1"/>
  <c r="D5" i="6"/>
  <c r="D10" i="6" s="1"/>
  <c r="D23" i="8" s="1"/>
  <c r="C10" i="4"/>
  <c r="R19" i="3"/>
  <c r="E6" i="6"/>
  <c r="E25" i="8" s="1"/>
  <c r="E5" i="6"/>
  <c r="E10" i="6" s="1"/>
  <c r="E23" i="8" s="1"/>
  <c r="R6" i="6"/>
  <c r="R25" i="8" s="1"/>
  <c r="R5" i="6"/>
  <c r="R10" i="6" s="1"/>
  <c r="R23" i="8" s="1"/>
  <c r="P10" i="4"/>
  <c r="G10" i="4"/>
  <c r="J10" i="4"/>
  <c r="Q6" i="6"/>
  <c r="Q25" i="8" s="1"/>
  <c r="Q5" i="6"/>
  <c r="Q10" i="6" s="1"/>
  <c r="Q23" i="8" s="1"/>
  <c r="B30" i="4" l="1"/>
  <c r="B5" i="8"/>
  <c r="B6" i="8" s="1"/>
  <c r="C29" i="4"/>
  <c r="C5" i="7" s="1"/>
  <c r="F27" i="3"/>
  <c r="F28" i="3" s="1"/>
  <c r="P27" i="3"/>
  <c r="P28" i="3" s="1"/>
  <c r="P14" i="4" s="1"/>
  <c r="F4" i="8"/>
  <c r="F4" i="7"/>
  <c r="F7" i="7" s="1"/>
  <c r="F13" i="4"/>
  <c r="F14" i="4"/>
  <c r="F15" i="4"/>
  <c r="P4" i="7"/>
  <c r="P7" i="7" s="1"/>
  <c r="P4" i="8"/>
  <c r="P13" i="4"/>
  <c r="P15" i="4"/>
  <c r="C40" i="8"/>
  <c r="B40" i="8"/>
  <c r="G40" i="8"/>
  <c r="F40" i="8"/>
  <c r="E40" i="8"/>
  <c r="D40" i="8"/>
  <c r="H40" i="8"/>
  <c r="E24" i="4"/>
  <c r="E26" i="4" s="1"/>
  <c r="E27" i="3"/>
  <c r="E28" i="3" s="1"/>
  <c r="B9" i="7"/>
  <c r="B44" i="8" s="1"/>
  <c r="B8" i="7"/>
  <c r="B36" i="8" s="1"/>
  <c r="D10" i="5"/>
  <c r="E9" i="5"/>
  <c r="O27" i="3"/>
  <c r="O28" i="3" s="1"/>
  <c r="O24" i="4"/>
  <c r="O26" i="4" s="1"/>
  <c r="B10" i="6"/>
  <c r="Q24" i="4"/>
  <c r="Q26" i="4" s="1"/>
  <c r="Q27" i="3"/>
  <c r="Q28" i="3" s="1"/>
  <c r="H27" i="3"/>
  <c r="H28" i="3" s="1"/>
  <c r="H24" i="4"/>
  <c r="H26" i="4" s="1"/>
  <c r="L5" i="6"/>
  <c r="L10" i="6" s="1"/>
  <c r="L23" i="8" s="1"/>
  <c r="L6" i="6"/>
  <c r="L25" i="8" s="1"/>
  <c r="N24" i="4"/>
  <c r="N26" i="4" s="1"/>
  <c r="N27" i="3"/>
  <c r="N28" i="3" s="1"/>
  <c r="C5" i="8"/>
  <c r="C6" i="8" s="1"/>
  <c r="D24" i="4"/>
  <c r="D26" i="4" s="1"/>
  <c r="D27" i="3"/>
  <c r="D28" i="3" s="1"/>
  <c r="B35" i="8"/>
  <c r="L20" i="3"/>
  <c r="L26" i="3" s="1"/>
  <c r="R20" i="3"/>
  <c r="R26" i="3" s="1"/>
  <c r="I24" i="4"/>
  <c r="I26" i="4" s="1"/>
  <c r="I27" i="3"/>
  <c r="I28" i="3"/>
  <c r="B18" i="11"/>
  <c r="B5" i="9"/>
  <c r="B4" i="9"/>
  <c r="J4" i="8"/>
  <c r="J4" i="7"/>
  <c r="J7" i="7" s="1"/>
  <c r="J13" i="4"/>
  <c r="J15" i="4"/>
  <c r="J14" i="4"/>
  <c r="M4" i="7"/>
  <c r="M7" i="7" s="1"/>
  <c r="M4" i="8"/>
  <c r="M14" i="4"/>
  <c r="M15" i="4"/>
  <c r="M13" i="4"/>
  <c r="K24" i="4"/>
  <c r="K26" i="4" s="1"/>
  <c r="K27" i="3"/>
  <c r="K28" i="3" s="1"/>
  <c r="G24" i="4"/>
  <c r="G26" i="4" s="1"/>
  <c r="G27" i="3"/>
  <c r="G28" i="3" s="1"/>
  <c r="I6" i="6"/>
  <c r="I25" i="8" s="1"/>
  <c r="O40" i="8" s="1"/>
  <c r="I5" i="6"/>
  <c r="I10" i="6" s="1"/>
  <c r="I23" i="8" s="1"/>
  <c r="C30" i="4" l="1"/>
  <c r="J16" i="4"/>
  <c r="J29" i="4" s="1"/>
  <c r="J5" i="8" s="1"/>
  <c r="J6" i="8" s="1"/>
  <c r="J4" i="9" s="1"/>
  <c r="F16" i="4"/>
  <c r="F29" i="4" s="1"/>
  <c r="F30" i="4" s="1"/>
  <c r="M16" i="4"/>
  <c r="M29" i="4" s="1"/>
  <c r="M5" i="8" s="1"/>
  <c r="M6" i="8" s="1"/>
  <c r="G4" i="7"/>
  <c r="G7" i="7" s="1"/>
  <c r="G4" i="8"/>
  <c r="G13" i="4"/>
  <c r="G14" i="4"/>
  <c r="G15" i="4"/>
  <c r="H4" i="7"/>
  <c r="H7" i="7" s="1"/>
  <c r="H4" i="8"/>
  <c r="H15" i="4"/>
  <c r="H13" i="4"/>
  <c r="H14" i="4"/>
  <c r="D4" i="8"/>
  <c r="D4" i="7"/>
  <c r="D7" i="7" s="1"/>
  <c r="D13" i="4"/>
  <c r="D14" i="4"/>
  <c r="D15" i="4"/>
  <c r="E4" i="8"/>
  <c r="E4" i="7"/>
  <c r="E7" i="7" s="1"/>
  <c r="E14" i="4"/>
  <c r="E13" i="4"/>
  <c r="E15" i="4"/>
  <c r="I40" i="8"/>
  <c r="K4" i="7"/>
  <c r="K7" i="7" s="1"/>
  <c r="K4" i="8"/>
  <c r="K13" i="4"/>
  <c r="K14" i="4"/>
  <c r="K15" i="4"/>
  <c r="B10" i="7"/>
  <c r="B11" i="7" s="1"/>
  <c r="B19" i="8" s="1"/>
  <c r="K40" i="8"/>
  <c r="P16" i="4"/>
  <c r="P29" i="4" s="1"/>
  <c r="C8" i="7"/>
  <c r="C9" i="7"/>
  <c r="C44" i="8" s="1"/>
  <c r="M5" i="7"/>
  <c r="L40" i="8"/>
  <c r="N4" i="7"/>
  <c r="N7" i="7" s="1"/>
  <c r="N14" i="4"/>
  <c r="N4" i="8"/>
  <c r="N13" i="4"/>
  <c r="N15" i="4"/>
  <c r="Q4" i="7"/>
  <c r="Q7" i="7" s="1"/>
  <c r="Q4" i="8"/>
  <c r="Q15" i="4"/>
  <c r="Q14" i="4"/>
  <c r="Q13" i="4"/>
  <c r="B23" i="8"/>
  <c r="B11" i="6"/>
  <c r="B14" i="5" s="1"/>
  <c r="B15" i="5" s="1"/>
  <c r="J40" i="8"/>
  <c r="B8" i="8"/>
  <c r="B10" i="8" s="1"/>
  <c r="B19" i="11"/>
  <c r="M40" i="8"/>
  <c r="M35" i="8"/>
  <c r="P35" i="8"/>
  <c r="M30" i="4"/>
  <c r="M20" i="6" s="1"/>
  <c r="G18" i="11"/>
  <c r="I4" i="7"/>
  <c r="I7" i="7" s="1"/>
  <c r="I4" i="8"/>
  <c r="I15" i="4"/>
  <c r="I14" i="4"/>
  <c r="I13" i="4"/>
  <c r="P40" i="8"/>
  <c r="N40" i="8"/>
  <c r="B31" i="11"/>
  <c r="O4" i="8"/>
  <c r="O4" i="7"/>
  <c r="O7" i="7" s="1"/>
  <c r="O15" i="4"/>
  <c r="O13" i="4"/>
  <c r="O14" i="4"/>
  <c r="Q40" i="8"/>
  <c r="R40" i="8"/>
  <c r="E10" i="5"/>
  <c r="F9" i="5"/>
  <c r="L27" i="3"/>
  <c r="L28" i="3" s="1"/>
  <c r="L24" i="4"/>
  <c r="L26" i="4" s="1"/>
  <c r="R27" i="3"/>
  <c r="R28" i="3" s="1"/>
  <c r="R24" i="4"/>
  <c r="R26" i="4" s="1"/>
  <c r="J35" i="8"/>
  <c r="C8" i="8"/>
  <c r="C10" i="8" s="1"/>
  <c r="D11" i="5"/>
  <c r="F35" i="8"/>
  <c r="D18" i="11"/>
  <c r="F5" i="7" l="1"/>
  <c r="I16" i="4"/>
  <c r="I29" i="4" s="1"/>
  <c r="I30" i="4" s="1"/>
  <c r="I20" i="6" s="1"/>
  <c r="J30" i="4"/>
  <c r="J20" i="6" s="1"/>
  <c r="B13" i="6"/>
  <c r="B21" i="11" s="1"/>
  <c r="F5" i="8"/>
  <c r="F6" i="8" s="1"/>
  <c r="D19" i="11" s="1"/>
  <c r="Q16" i="4"/>
  <c r="Q29" i="4" s="1"/>
  <c r="Q5" i="8" s="1"/>
  <c r="Q6" i="8" s="1"/>
  <c r="J5" i="7"/>
  <c r="J9" i="7" s="1"/>
  <c r="J44" i="8" s="1"/>
  <c r="E16" i="4"/>
  <c r="E29" i="4" s="1"/>
  <c r="E30" i="4" s="1"/>
  <c r="E20" i="6" s="1"/>
  <c r="L4" i="8"/>
  <c r="L4" i="7"/>
  <c r="L7" i="7" s="1"/>
  <c r="L15" i="4"/>
  <c r="L14" i="4"/>
  <c r="L13" i="4"/>
  <c r="M8" i="8"/>
  <c r="M4" i="9"/>
  <c r="O16" i="4"/>
  <c r="O29" i="4" s="1"/>
  <c r="N35" i="8"/>
  <c r="K16" i="4"/>
  <c r="K29" i="4" s="1"/>
  <c r="H16" i="4"/>
  <c r="H29" i="4" s="1"/>
  <c r="I35" i="8"/>
  <c r="F18" i="11"/>
  <c r="D16" i="4"/>
  <c r="D29" i="4" s="1"/>
  <c r="J8" i="8"/>
  <c r="O35" i="8"/>
  <c r="D35" i="8"/>
  <c r="G9" i="5"/>
  <c r="F10" i="5"/>
  <c r="H35" i="8"/>
  <c r="K35" i="8"/>
  <c r="E18" i="11"/>
  <c r="Q35" i="8"/>
  <c r="C18" i="11"/>
  <c r="F8" i="7"/>
  <c r="F9" i="7"/>
  <c r="F44" i="8" s="1"/>
  <c r="C36" i="8"/>
  <c r="C10" i="7"/>
  <c r="C11" i="7" s="1"/>
  <c r="C19" i="8" s="1"/>
  <c r="P5" i="7"/>
  <c r="P5" i="8"/>
  <c r="P6" i="8" s="1"/>
  <c r="P30" i="4"/>
  <c r="P20" i="6" s="1"/>
  <c r="C11" i="8"/>
  <c r="C12" i="8" s="1"/>
  <c r="M9" i="7"/>
  <c r="M44" i="8" s="1"/>
  <c r="M8" i="7"/>
  <c r="F4" i="9"/>
  <c r="R4" i="8"/>
  <c r="R4" i="7"/>
  <c r="R7" i="7" s="1"/>
  <c r="R15" i="4"/>
  <c r="R14" i="4"/>
  <c r="R13" i="4"/>
  <c r="B11" i="8"/>
  <c r="B12" i="9" s="1"/>
  <c r="N16" i="4"/>
  <c r="N29" i="4" s="1"/>
  <c r="E35" i="8"/>
  <c r="G16" i="4"/>
  <c r="G29" i="4" s="1"/>
  <c r="E11" i="5"/>
  <c r="D12" i="5"/>
  <c r="B19" i="5"/>
  <c r="B34" i="8" s="1"/>
  <c r="G35" i="8"/>
  <c r="Q30" i="4" l="1"/>
  <c r="Q20" i="6" s="1"/>
  <c r="I5" i="7"/>
  <c r="I9" i="7" s="1"/>
  <c r="I44" i="8" s="1"/>
  <c r="I5" i="8"/>
  <c r="I6" i="8" s="1"/>
  <c r="I4" i="9" s="1"/>
  <c r="E5" i="7"/>
  <c r="E9" i="7" s="1"/>
  <c r="E44" i="8" s="1"/>
  <c r="E5" i="8"/>
  <c r="E6" i="8" s="1"/>
  <c r="E4" i="9" s="1"/>
  <c r="C9" i="6"/>
  <c r="C22" i="6" s="1"/>
  <c r="B43" i="8"/>
  <c r="B45" i="8" s="1"/>
  <c r="J8" i="7"/>
  <c r="J36" i="8" s="1"/>
  <c r="Q5" i="7"/>
  <c r="Q9" i="7" s="1"/>
  <c r="Q44" i="8" s="1"/>
  <c r="R16" i="4"/>
  <c r="R29" i="4" s="1"/>
  <c r="R30" i="4" s="1"/>
  <c r="R20" i="6" s="1"/>
  <c r="C13" i="8"/>
  <c r="C27" i="8" s="1"/>
  <c r="C17" i="8"/>
  <c r="C20" i="8" s="1"/>
  <c r="O5" i="7"/>
  <c r="O5" i="8"/>
  <c r="O6" i="8" s="1"/>
  <c r="O30" i="4"/>
  <c r="O20" i="6" s="1"/>
  <c r="F11" i="5"/>
  <c r="E12" i="5"/>
  <c r="Q8" i="8"/>
  <c r="Q4" i="9"/>
  <c r="N5" i="7"/>
  <c r="N5" i="8"/>
  <c r="N6" i="8" s="1"/>
  <c r="N30" i="4"/>
  <c r="N20" i="6" s="1"/>
  <c r="B12" i="8"/>
  <c r="H5" i="8"/>
  <c r="H6" i="8" s="1"/>
  <c r="H5" i="7"/>
  <c r="H30" i="4"/>
  <c r="L16" i="4"/>
  <c r="L29" i="4" s="1"/>
  <c r="P8" i="7"/>
  <c r="P9" i="7"/>
  <c r="P44" i="8" s="1"/>
  <c r="B13" i="9"/>
  <c r="F36" i="8"/>
  <c r="F10" i="7"/>
  <c r="G10" i="5"/>
  <c r="H9" i="5"/>
  <c r="K5" i="7"/>
  <c r="K5" i="8"/>
  <c r="K6" i="8" s="1"/>
  <c r="K30" i="4"/>
  <c r="K20" i="6" s="1"/>
  <c r="R35" i="8"/>
  <c r="G5" i="8"/>
  <c r="G6" i="8" s="1"/>
  <c r="G5" i="7"/>
  <c r="G30" i="4"/>
  <c r="G19" i="11"/>
  <c r="P8" i="8"/>
  <c r="P4" i="9"/>
  <c r="L35" i="8"/>
  <c r="M36" i="8"/>
  <c r="M10" i="7"/>
  <c r="F20" i="6"/>
  <c r="C12" i="9"/>
  <c r="D5" i="7"/>
  <c r="D5" i="8"/>
  <c r="D6" i="8" s="1"/>
  <c r="D30" i="4"/>
  <c r="D20" i="6" s="1"/>
  <c r="E8" i="7" l="1"/>
  <c r="I8" i="7"/>
  <c r="I36" i="8" s="1"/>
  <c r="I8" i="8"/>
  <c r="J10" i="7"/>
  <c r="Q8" i="7"/>
  <c r="C21" i="6"/>
  <c r="C24" i="6" s="1"/>
  <c r="C12" i="6" s="1"/>
  <c r="C25" i="6" s="1"/>
  <c r="C17" i="6" s="1"/>
  <c r="C9" i="9" s="1"/>
  <c r="C11" i="6"/>
  <c r="C14" i="5" s="1"/>
  <c r="C15" i="5" s="1"/>
  <c r="E16" i="5" s="1"/>
  <c r="E18" i="5" s="1"/>
  <c r="G20" i="6"/>
  <c r="R5" i="8"/>
  <c r="R6" i="8" s="1"/>
  <c r="R8" i="8" s="1"/>
  <c r="R5" i="7"/>
  <c r="R9" i="7" s="1"/>
  <c r="R44" i="8" s="1"/>
  <c r="C14" i="8"/>
  <c r="E36" i="8"/>
  <c r="E10" i="7"/>
  <c r="F11" i="7" s="1"/>
  <c r="F19" i="8" s="1"/>
  <c r="N8" i="8"/>
  <c r="N4" i="9"/>
  <c r="F19" i="11"/>
  <c r="K8" i="8"/>
  <c r="K4" i="9"/>
  <c r="I10" i="7"/>
  <c r="P36" i="8"/>
  <c r="P10" i="7"/>
  <c r="N9" i="7"/>
  <c r="N44" i="8" s="1"/>
  <c r="N8" i="7"/>
  <c r="O8" i="8"/>
  <c r="O4" i="9"/>
  <c r="B20" i="11"/>
  <c r="B17" i="8"/>
  <c r="B20" i="8" s="1"/>
  <c r="B13" i="8"/>
  <c r="B27" i="8" s="1"/>
  <c r="B28" i="8" s="1"/>
  <c r="O8" i="7"/>
  <c r="O9" i="7"/>
  <c r="O44" i="8" s="1"/>
  <c r="I9" i="5"/>
  <c r="H10" i="5"/>
  <c r="C19" i="11"/>
  <c r="D4" i="9"/>
  <c r="G11" i="5"/>
  <c r="F12" i="5"/>
  <c r="K9" i="7"/>
  <c r="K44" i="8" s="1"/>
  <c r="K8" i="7"/>
  <c r="L5" i="7"/>
  <c r="L5" i="8"/>
  <c r="L6" i="8" s="1"/>
  <c r="L30" i="4"/>
  <c r="L20" i="6" s="1"/>
  <c r="Q36" i="8"/>
  <c r="Q10" i="7"/>
  <c r="H9" i="7"/>
  <c r="H44" i="8" s="1"/>
  <c r="H8" i="7"/>
  <c r="D8" i="7"/>
  <c r="D9" i="7"/>
  <c r="D44" i="8" s="1"/>
  <c r="G9" i="7"/>
  <c r="G44" i="8" s="1"/>
  <c r="G8" i="7"/>
  <c r="G4" i="9"/>
  <c r="E19" i="11"/>
  <c r="H4" i="9"/>
  <c r="C13" i="6" l="1"/>
  <c r="D9" i="6" s="1"/>
  <c r="D22" i="6" s="1"/>
  <c r="C13" i="9"/>
  <c r="C24" i="8"/>
  <c r="C28" i="8" s="1"/>
  <c r="C29" i="8" s="1"/>
  <c r="C19" i="5"/>
  <c r="C34" i="8" s="1"/>
  <c r="H16" i="5"/>
  <c r="H18" i="5" s="1"/>
  <c r="H18" i="8" s="1"/>
  <c r="G16" i="5"/>
  <c r="G18" i="5" s="1"/>
  <c r="G7" i="8" s="1"/>
  <c r="G8" i="8" s="1"/>
  <c r="Q11" i="7"/>
  <c r="Q19" i="8" s="1"/>
  <c r="F16" i="5"/>
  <c r="F18" i="5" s="1"/>
  <c r="F18" i="8" s="1"/>
  <c r="D16" i="5"/>
  <c r="D17" i="5" s="1"/>
  <c r="E17" i="5" s="1"/>
  <c r="R8" i="7"/>
  <c r="R36" i="8" s="1"/>
  <c r="D15" i="5"/>
  <c r="E15" i="5" s="1"/>
  <c r="R4" i="9"/>
  <c r="B14" i="8"/>
  <c r="C41" i="8" s="1"/>
  <c r="C42" i="8" s="1"/>
  <c r="B29" i="8"/>
  <c r="B31" i="8" s="1"/>
  <c r="B37" i="8" s="1"/>
  <c r="B38" i="8" s="1"/>
  <c r="N36" i="8"/>
  <c r="N10" i="7"/>
  <c r="N11" i="7" s="1"/>
  <c r="N19" i="8" s="1"/>
  <c r="E7" i="8"/>
  <c r="E8" i="8" s="1"/>
  <c r="E18" i="8"/>
  <c r="D36" i="8"/>
  <c r="D10" i="7"/>
  <c r="D11" i="7" s="1"/>
  <c r="D19" i="8" s="1"/>
  <c r="H36" i="8"/>
  <c r="H10" i="7"/>
  <c r="I11" i="7" s="1"/>
  <c r="I19" i="8" s="1"/>
  <c r="O36" i="8"/>
  <c r="O10" i="7"/>
  <c r="P11" i="7" s="1"/>
  <c r="P19" i="8" s="1"/>
  <c r="J9" i="5"/>
  <c r="H20" i="6"/>
  <c r="G36" i="8"/>
  <c r="G10" i="7"/>
  <c r="G11" i="7" s="1"/>
  <c r="G19" i="8" s="1"/>
  <c r="K36" i="8"/>
  <c r="K10" i="7"/>
  <c r="K11" i="7" s="1"/>
  <c r="K19" i="8" s="1"/>
  <c r="H11" i="5"/>
  <c r="G12" i="5"/>
  <c r="L8" i="8"/>
  <c r="L4" i="9"/>
  <c r="L9" i="7"/>
  <c r="L44" i="8" s="1"/>
  <c r="L8" i="7"/>
  <c r="J11" i="7"/>
  <c r="J19" i="8" s="1"/>
  <c r="C43" i="8" l="1"/>
  <c r="C45" i="8" s="1"/>
  <c r="C30" i="8"/>
  <c r="C31" i="8" s="1"/>
  <c r="C37" i="8" s="1"/>
  <c r="C38" i="8" s="1"/>
  <c r="D16" i="6"/>
  <c r="D21" i="6" s="1"/>
  <c r="D24" i="6" s="1"/>
  <c r="D12" i="6" s="1"/>
  <c r="D24" i="8" s="1"/>
  <c r="D18" i="5"/>
  <c r="D18" i="8" s="1"/>
  <c r="F17" i="5"/>
  <c r="G17" i="5" s="1"/>
  <c r="H17" i="5" s="1"/>
  <c r="I17" i="5" s="1"/>
  <c r="J17" i="5" s="1"/>
  <c r="K17" i="5" s="1"/>
  <c r="L17" i="5" s="1"/>
  <c r="M17" i="5" s="1"/>
  <c r="N17" i="5" s="1"/>
  <c r="O17" i="5" s="1"/>
  <c r="P17" i="5" s="1"/>
  <c r="Q17" i="5" s="1"/>
  <c r="R17" i="5" s="1"/>
  <c r="B22" i="11"/>
  <c r="B41" i="8"/>
  <c r="B42" i="8" s="1"/>
  <c r="B6" i="9" s="1"/>
  <c r="G18" i="8"/>
  <c r="H7" i="8"/>
  <c r="H8" i="8" s="1"/>
  <c r="F7" i="8"/>
  <c r="F8" i="8" s="1"/>
  <c r="R10" i="7"/>
  <c r="R11" i="7" s="1"/>
  <c r="R19" i="8" s="1"/>
  <c r="L36" i="8"/>
  <c r="L10" i="7"/>
  <c r="B46" i="8"/>
  <c r="D19" i="5"/>
  <c r="D34" i="8" s="1"/>
  <c r="O11" i="7"/>
  <c r="O19" i="8" s="1"/>
  <c r="F15" i="5"/>
  <c r="E19" i="5"/>
  <c r="E34" i="8" s="1"/>
  <c r="K9" i="5"/>
  <c r="C7" i="9"/>
  <c r="C46" i="8"/>
  <c r="C6" i="9"/>
  <c r="B47" i="8"/>
  <c r="H11" i="7"/>
  <c r="H19" i="8" s="1"/>
  <c r="I11" i="5"/>
  <c r="H12" i="5"/>
  <c r="E11" i="7"/>
  <c r="E19" i="8" s="1"/>
  <c r="B7" i="9" l="1"/>
  <c r="D25" i="6"/>
  <c r="D17" i="6" s="1"/>
  <c r="D9" i="9" s="1"/>
  <c r="D9" i="8"/>
  <c r="D8" i="9" s="1"/>
  <c r="D30" i="8"/>
  <c r="D13" i="6"/>
  <c r="D7" i="8"/>
  <c r="D8" i="8" s="1"/>
  <c r="D10" i="8" s="1"/>
  <c r="C21" i="11"/>
  <c r="D43" i="8"/>
  <c r="D45" i="8" s="1"/>
  <c r="E9" i="6"/>
  <c r="J11" i="5"/>
  <c r="I12" i="5"/>
  <c r="L9" i="5"/>
  <c r="C47" i="8"/>
  <c r="L11" i="7"/>
  <c r="L19" i="8" s="1"/>
  <c r="M11" i="7"/>
  <c r="M19" i="8" s="1"/>
  <c r="G15" i="5"/>
  <c r="F19" i="5"/>
  <c r="F34" i="8" s="1"/>
  <c r="C23" i="11" l="1"/>
  <c r="H15" i="5"/>
  <c r="G19" i="5"/>
  <c r="G34" i="8" s="1"/>
  <c r="E22" i="6"/>
  <c r="E16" i="6"/>
  <c r="E21" i="6" s="1"/>
  <c r="E24" i="6" s="1"/>
  <c r="E12" i="6" s="1"/>
  <c r="E24" i="8" s="1"/>
  <c r="M9" i="5"/>
  <c r="K11" i="5"/>
  <c r="J12" i="5"/>
  <c r="D11" i="8"/>
  <c r="D12" i="9" s="1"/>
  <c r="D12" i="8" l="1"/>
  <c r="D13" i="8" s="1"/>
  <c r="D27" i="8" s="1"/>
  <c r="D28" i="8" s="1"/>
  <c r="I15" i="5"/>
  <c r="H19" i="5"/>
  <c r="H34" i="8" s="1"/>
  <c r="L11" i="5"/>
  <c r="K12" i="5"/>
  <c r="E13" i="6"/>
  <c r="N9" i="5"/>
  <c r="E9" i="8"/>
  <c r="E25" i="6"/>
  <c r="E17" i="6" s="1"/>
  <c r="D13" i="9"/>
  <c r="D5" i="9" l="1"/>
  <c r="D14" i="8"/>
  <c r="D41" i="8" s="1"/>
  <c r="D42" i="8" s="1"/>
  <c r="D17" i="8"/>
  <c r="D20" i="8" s="1"/>
  <c r="D29" i="8" s="1"/>
  <c r="D31" i="8" s="1"/>
  <c r="C22" i="11" s="1"/>
  <c r="C20" i="11"/>
  <c r="E43" i="8"/>
  <c r="E45" i="8" s="1"/>
  <c r="F9" i="6"/>
  <c r="J15" i="5"/>
  <c r="I19" i="5"/>
  <c r="I34" i="8" s="1"/>
  <c r="E9" i="9"/>
  <c r="E8" i="9"/>
  <c r="E10" i="8"/>
  <c r="M11" i="5"/>
  <c r="L12" i="5"/>
  <c r="O9" i="5"/>
  <c r="E30" i="8" l="1"/>
  <c r="D37" i="8"/>
  <c r="D38" i="8" s="1"/>
  <c r="D7" i="9"/>
  <c r="D46" i="8"/>
  <c r="D6" i="9"/>
  <c r="P9" i="5"/>
  <c r="K15" i="5"/>
  <c r="J19" i="5"/>
  <c r="J34" i="8" s="1"/>
  <c r="N11" i="5"/>
  <c r="M12" i="5"/>
  <c r="F22" i="6"/>
  <c r="F16" i="6"/>
  <c r="F21" i="6" s="1"/>
  <c r="F24" i="6" s="1"/>
  <c r="F12" i="6" s="1"/>
  <c r="F24" i="8" s="1"/>
  <c r="E11" i="8"/>
  <c r="E12" i="9" s="1"/>
  <c r="D47" i="8" l="1"/>
  <c r="O11" i="5"/>
  <c r="N12" i="5"/>
  <c r="L15" i="5"/>
  <c r="K19" i="5"/>
  <c r="K34" i="8" s="1"/>
  <c r="Q9" i="5"/>
  <c r="F25" i="6"/>
  <c r="F17" i="6" s="1"/>
  <c r="F9" i="8"/>
  <c r="E13" i="9"/>
  <c r="E12" i="8"/>
  <c r="F13" i="6"/>
  <c r="F9" i="9" l="1"/>
  <c r="D23" i="11"/>
  <c r="F8" i="9"/>
  <c r="F10" i="8"/>
  <c r="R9" i="5"/>
  <c r="E17" i="8"/>
  <c r="E20" i="8" s="1"/>
  <c r="E13" i="8"/>
  <c r="E27" i="8" s="1"/>
  <c r="E28" i="8" s="1"/>
  <c r="E5" i="9"/>
  <c r="D21" i="11"/>
  <c r="F43" i="8"/>
  <c r="F45" i="8" s="1"/>
  <c r="G9" i="6"/>
  <c r="M15" i="5"/>
  <c r="L19" i="5"/>
  <c r="L34" i="8" s="1"/>
  <c r="P11" i="5"/>
  <c r="O12" i="5"/>
  <c r="E14" i="8" l="1"/>
  <c r="E41" i="8" s="1"/>
  <c r="E42" i="8" s="1"/>
  <c r="E29" i="8"/>
  <c r="E31" i="8" s="1"/>
  <c r="E37" i="8" s="1"/>
  <c r="E38" i="8" s="1"/>
  <c r="Q11" i="5"/>
  <c r="P12" i="5"/>
  <c r="F11" i="8"/>
  <c r="F12" i="9" s="1"/>
  <c r="N15" i="5"/>
  <c r="M19" i="5"/>
  <c r="M34" i="8" s="1"/>
  <c r="G22" i="6"/>
  <c r="G16" i="6"/>
  <c r="G21" i="6" s="1"/>
  <c r="G24" i="6" s="1"/>
  <c r="G12" i="6" s="1"/>
  <c r="G24" i="8" s="1"/>
  <c r="F30" i="8" l="1"/>
  <c r="O15" i="5"/>
  <c r="N19" i="5"/>
  <c r="N34" i="8" s="1"/>
  <c r="E7" i="9"/>
  <c r="E46" i="8"/>
  <c r="E47" i="8" s="1"/>
  <c r="E6" i="9"/>
  <c r="F13" i="9"/>
  <c r="F12" i="8"/>
  <c r="G9" i="8"/>
  <c r="G25" i="6"/>
  <c r="G17" i="6" s="1"/>
  <c r="G13" i="6"/>
  <c r="R11" i="5"/>
  <c r="R12" i="5" s="1"/>
  <c r="Q12" i="5"/>
  <c r="F17" i="8" l="1"/>
  <c r="F20" i="8" s="1"/>
  <c r="F13" i="8"/>
  <c r="F27" i="8" s="1"/>
  <c r="F28" i="8" s="1"/>
  <c r="D20" i="11"/>
  <c r="F5" i="9"/>
  <c r="G43" i="8"/>
  <c r="G45" i="8" s="1"/>
  <c r="H9" i="6"/>
  <c r="G9" i="9"/>
  <c r="G8" i="9"/>
  <c r="G10" i="8"/>
  <c r="P15" i="5"/>
  <c r="O19" i="5"/>
  <c r="O34" i="8" s="1"/>
  <c r="F29" i="8" l="1"/>
  <c r="F31" i="8" s="1"/>
  <c r="F37" i="8" s="1"/>
  <c r="F38" i="8" s="1"/>
  <c r="F14" i="8"/>
  <c r="F41" i="8" s="1"/>
  <c r="F42" i="8" s="1"/>
  <c r="H22" i="6"/>
  <c r="H16" i="6"/>
  <c r="H21" i="6" s="1"/>
  <c r="H24" i="6" s="1"/>
  <c r="H12" i="6" s="1"/>
  <c r="H24" i="8" s="1"/>
  <c r="Q15" i="5"/>
  <c r="P19" i="5"/>
  <c r="P34" i="8" s="1"/>
  <c r="G11" i="8"/>
  <c r="G12" i="9" s="1"/>
  <c r="D22" i="11" l="1"/>
  <c r="G30" i="8"/>
  <c r="R15" i="5"/>
  <c r="R19" i="5" s="1"/>
  <c r="R34" i="8" s="1"/>
  <c r="Q19" i="5"/>
  <c r="Q34" i="8" s="1"/>
  <c r="G12" i="8"/>
  <c r="H9" i="8"/>
  <c r="H25" i="6"/>
  <c r="H17" i="6" s="1"/>
  <c r="G13" i="9"/>
  <c r="F7" i="9"/>
  <c r="F46" i="8"/>
  <c r="F47" i="8" s="1"/>
  <c r="F6" i="9"/>
  <c r="H13" i="6"/>
  <c r="H9" i="9" l="1"/>
  <c r="E23" i="11"/>
  <c r="H8" i="9"/>
  <c r="H10" i="8"/>
  <c r="G13" i="8"/>
  <c r="G27" i="8" s="1"/>
  <c r="G28" i="8" s="1"/>
  <c r="G17" i="8"/>
  <c r="G20" i="8" s="1"/>
  <c r="G5" i="9"/>
  <c r="E21" i="11"/>
  <c r="H43" i="8"/>
  <c r="H45" i="8" s="1"/>
  <c r="I9" i="6"/>
  <c r="G29" i="8" l="1"/>
  <c r="G31" i="8" s="1"/>
  <c r="G37" i="8" s="1"/>
  <c r="G38" i="8" s="1"/>
  <c r="G14" i="8"/>
  <c r="H11" i="8"/>
  <c r="H12" i="9" s="1"/>
  <c r="H13" i="9" s="1"/>
  <c r="I22" i="6"/>
  <c r="I16" i="6"/>
  <c r="I21" i="6" s="1"/>
  <c r="I24" i="6" s="1"/>
  <c r="I12" i="6" s="1"/>
  <c r="I24" i="8" s="1"/>
  <c r="I13" i="6" l="1"/>
  <c r="I43" i="8" s="1"/>
  <c r="I45" i="8" s="1"/>
  <c r="H30" i="8"/>
  <c r="I9" i="8"/>
  <c r="I25" i="6"/>
  <c r="I17" i="6" s="1"/>
  <c r="H12" i="8"/>
  <c r="G41" i="8"/>
  <c r="G42" i="8" s="1"/>
  <c r="J9" i="6" l="1"/>
  <c r="J22" i="6" s="1"/>
  <c r="G7" i="9"/>
  <c r="G46" i="8"/>
  <c r="G47" i="8" s="1"/>
  <c r="G6" i="9"/>
  <c r="I9" i="9"/>
  <c r="H13" i="8"/>
  <c r="H27" i="8" s="1"/>
  <c r="H28" i="8" s="1"/>
  <c r="E20" i="11"/>
  <c r="H17" i="8"/>
  <c r="H20" i="8" s="1"/>
  <c r="H5" i="9"/>
  <c r="I8" i="9"/>
  <c r="I10" i="8"/>
  <c r="J16" i="6" l="1"/>
  <c r="J21" i="6" s="1"/>
  <c r="J24" i="6" s="1"/>
  <c r="J12" i="6" s="1"/>
  <c r="J24" i="8" s="1"/>
  <c r="H29" i="8"/>
  <c r="H31" i="8" s="1"/>
  <c r="H37" i="8" s="1"/>
  <c r="H38" i="8" s="1"/>
  <c r="H14" i="8"/>
  <c r="H41" i="8" s="1"/>
  <c r="H42" i="8" s="1"/>
  <c r="I11" i="8"/>
  <c r="I12" i="9" s="1"/>
  <c r="I13" i="9" s="1"/>
  <c r="J13" i="6" l="1"/>
  <c r="K9" i="6" s="1"/>
  <c r="J9" i="8"/>
  <c r="J8" i="9" s="1"/>
  <c r="J25" i="6"/>
  <c r="J17" i="6" s="1"/>
  <c r="J9" i="9" s="1"/>
  <c r="E22" i="11"/>
  <c r="I30" i="8"/>
  <c r="I12" i="8"/>
  <c r="H7" i="9"/>
  <c r="H46" i="8"/>
  <c r="H47" i="8" s="1"/>
  <c r="H6" i="9"/>
  <c r="J43" i="8" l="1"/>
  <c r="J45" i="8" s="1"/>
  <c r="J10" i="8"/>
  <c r="J11" i="8" s="1"/>
  <c r="J12" i="9" s="1"/>
  <c r="J13" i="9" s="1"/>
  <c r="I13" i="8"/>
  <c r="I27" i="8" s="1"/>
  <c r="I28" i="8" s="1"/>
  <c r="I17" i="8"/>
  <c r="I20" i="8" s="1"/>
  <c r="I5" i="9"/>
  <c r="K22" i="6"/>
  <c r="K16" i="6"/>
  <c r="K21" i="6" s="1"/>
  <c r="K24" i="6" s="1"/>
  <c r="K12" i="6" s="1"/>
  <c r="K24" i="8" s="1"/>
  <c r="I29" i="8" l="1"/>
  <c r="I31" i="8" s="1"/>
  <c r="I37" i="8" s="1"/>
  <c r="I38" i="8" s="1"/>
  <c r="I14" i="8"/>
  <c r="I41" i="8" s="1"/>
  <c r="I42" i="8" s="1"/>
  <c r="I6" i="9" s="1"/>
  <c r="J12" i="8"/>
  <c r="J13" i="8" s="1"/>
  <c r="J27" i="8" s="1"/>
  <c r="J28" i="8" s="1"/>
  <c r="K13" i="6"/>
  <c r="K9" i="8"/>
  <c r="K25" i="6"/>
  <c r="K17" i="6" s="1"/>
  <c r="J30" i="8" l="1"/>
  <c r="J17" i="8"/>
  <c r="J20" i="8" s="1"/>
  <c r="J29" i="8" s="1"/>
  <c r="J5" i="9"/>
  <c r="I7" i="9"/>
  <c r="I46" i="8"/>
  <c r="K43" i="8"/>
  <c r="K45" i="8" s="1"/>
  <c r="F21" i="11"/>
  <c r="L9" i="6"/>
  <c r="J14" i="8"/>
  <c r="J41" i="8" s="1"/>
  <c r="J42" i="8" s="1"/>
  <c r="I47" i="8"/>
  <c r="F23" i="11"/>
  <c r="K9" i="9"/>
  <c r="K8" i="9"/>
  <c r="K10" i="8"/>
  <c r="J31" i="8" l="1"/>
  <c r="K30" i="8" s="1"/>
  <c r="L16" i="6"/>
  <c r="L21" i="6" s="1"/>
  <c r="L24" i="6" s="1"/>
  <c r="L12" i="6" s="1"/>
  <c r="L24" i="8" s="1"/>
  <c r="L22" i="6"/>
  <c r="J6" i="9"/>
  <c r="J7" i="9"/>
  <c r="J46" i="8"/>
  <c r="K11" i="8"/>
  <c r="K12" i="9" s="1"/>
  <c r="K13" i="9" s="1"/>
  <c r="K12" i="8" l="1"/>
  <c r="K17" i="8" s="1"/>
  <c r="K20" i="8" s="1"/>
  <c r="J37" i="8"/>
  <c r="J38" i="8" s="1"/>
  <c r="J47" i="8" s="1"/>
  <c r="L13" i="6"/>
  <c r="M9" i="6" s="1"/>
  <c r="L9" i="8"/>
  <c r="L25" i="6"/>
  <c r="L17" i="6" s="1"/>
  <c r="F20" i="11" l="1"/>
  <c r="K13" i="8"/>
  <c r="K27" i="8" s="1"/>
  <c r="K28" i="8" s="1"/>
  <c r="K29" i="8" s="1"/>
  <c r="K31" i="8" s="1"/>
  <c r="K5" i="9"/>
  <c r="L43" i="8"/>
  <c r="L45" i="8" s="1"/>
  <c r="L9" i="9"/>
  <c r="L8" i="9"/>
  <c r="L10" i="8"/>
  <c r="M16" i="6"/>
  <c r="M21" i="6" s="1"/>
  <c r="M24" i="6" s="1"/>
  <c r="M12" i="6" s="1"/>
  <c r="M24" i="8" s="1"/>
  <c r="M22" i="6"/>
  <c r="K14" i="8" l="1"/>
  <c r="K41" i="8" s="1"/>
  <c r="K42" i="8" s="1"/>
  <c r="K7" i="9" s="1"/>
  <c r="M13" i="6"/>
  <c r="M25" i="6"/>
  <c r="M17" i="6" s="1"/>
  <c r="M9" i="8"/>
  <c r="L11" i="8"/>
  <c r="L12" i="9" s="1"/>
  <c r="L13" i="9" s="1"/>
  <c r="K37" i="8"/>
  <c r="K38" i="8" s="1"/>
  <c r="L30" i="8"/>
  <c r="F22" i="11"/>
  <c r="K46" i="8" l="1"/>
  <c r="K6" i="9"/>
  <c r="K47" i="8"/>
  <c r="L12" i="8"/>
  <c r="M8" i="9"/>
  <c r="M10" i="8"/>
  <c r="M9" i="9"/>
  <c r="M43" i="8"/>
  <c r="M45" i="8" s="1"/>
  <c r="N9" i="6"/>
  <c r="M11" i="8" l="1"/>
  <c r="M12" i="9" s="1"/>
  <c r="M13" i="9" s="1"/>
  <c r="N22" i="6"/>
  <c r="N16" i="6"/>
  <c r="N21" i="6" s="1"/>
  <c r="N24" i="6" s="1"/>
  <c r="N12" i="6" s="1"/>
  <c r="N24" i="8" s="1"/>
  <c r="L13" i="8"/>
  <c r="L27" i="8" s="1"/>
  <c r="L28" i="8" s="1"/>
  <c r="L17" i="8"/>
  <c r="L20" i="8" s="1"/>
  <c r="L5" i="9"/>
  <c r="L14" i="8" l="1"/>
  <c r="L41" i="8" s="1"/>
  <c r="L42" i="8" s="1"/>
  <c r="L6" i="9" s="1"/>
  <c r="L29" i="8"/>
  <c r="L31" i="8" s="1"/>
  <c r="L37" i="8" s="1"/>
  <c r="L38" i="8" s="1"/>
  <c r="N13" i="6"/>
  <c r="N43" i="8" s="1"/>
  <c r="N45" i="8" s="1"/>
  <c r="N25" i="6"/>
  <c r="N17" i="6" s="1"/>
  <c r="N9" i="8"/>
  <c r="M12" i="8"/>
  <c r="L46" i="8" l="1"/>
  <c r="L47" i="8" s="1"/>
  <c r="L7" i="9"/>
  <c r="O9" i="6"/>
  <c r="O22" i="6" s="1"/>
  <c r="M30" i="8"/>
  <c r="M13" i="8"/>
  <c r="M27" i="8" s="1"/>
  <c r="M28" i="8" s="1"/>
  <c r="M17" i="8"/>
  <c r="M20" i="8" s="1"/>
  <c r="M5" i="9"/>
  <c r="N8" i="9"/>
  <c r="N10" i="8"/>
  <c r="N9" i="9"/>
  <c r="M29" i="8" l="1"/>
  <c r="M31" i="8" s="1"/>
  <c r="M37" i="8" s="1"/>
  <c r="M38" i="8" s="1"/>
  <c r="O16" i="6"/>
  <c r="O21" i="6" s="1"/>
  <c r="O24" i="6" s="1"/>
  <c r="O12" i="6" s="1"/>
  <c r="O24" i="8" s="1"/>
  <c r="N11" i="8"/>
  <c r="N12" i="9" s="1"/>
  <c r="N13" i="9" s="1"/>
  <c r="M14" i="8"/>
  <c r="M41" i="8" s="1"/>
  <c r="M42" i="8" s="1"/>
  <c r="N30" i="8" l="1"/>
  <c r="O25" i="6"/>
  <c r="O17" i="6" s="1"/>
  <c r="O9" i="9" s="1"/>
  <c r="O13" i="6"/>
  <c r="O43" i="8" s="1"/>
  <c r="O45" i="8" s="1"/>
  <c r="O9" i="8"/>
  <c r="O10" i="8" s="1"/>
  <c r="M6" i="9"/>
  <c r="M7" i="9"/>
  <c r="M46" i="8"/>
  <c r="M47" i="8" s="1"/>
  <c r="N12" i="8"/>
  <c r="P9" i="6" l="1"/>
  <c r="P22" i="6" s="1"/>
  <c r="O8" i="9"/>
  <c r="N17" i="8"/>
  <c r="N20" i="8" s="1"/>
  <c r="N13" i="8"/>
  <c r="N27" i="8" s="1"/>
  <c r="N28" i="8" s="1"/>
  <c r="N5" i="9"/>
  <c r="O11" i="8"/>
  <c r="O12" i="9" s="1"/>
  <c r="O13" i="9" s="1"/>
  <c r="P16" i="6" l="1"/>
  <c r="P21" i="6" s="1"/>
  <c r="P24" i="6" s="1"/>
  <c r="P12" i="6" s="1"/>
  <c r="P24" i="8" s="1"/>
  <c r="N14" i="8"/>
  <c r="N41" i="8" s="1"/>
  <c r="N42" i="8" s="1"/>
  <c r="N7" i="9" s="1"/>
  <c r="N29" i="8"/>
  <c r="N31" i="8" s="1"/>
  <c r="N37" i="8" s="1"/>
  <c r="N38" i="8" s="1"/>
  <c r="O12" i="8"/>
  <c r="P13" i="6" l="1"/>
  <c r="G21" i="11" s="1"/>
  <c r="P9" i="8"/>
  <c r="P10" i="8" s="1"/>
  <c r="P25" i="6"/>
  <c r="P17" i="6" s="1"/>
  <c r="G23" i="11" s="1"/>
  <c r="Q9" i="6"/>
  <c r="Q22" i="6" s="1"/>
  <c r="P43" i="8"/>
  <c r="P45" i="8" s="1"/>
  <c r="N46" i="8"/>
  <c r="N47" i="8" s="1"/>
  <c r="N6" i="9"/>
  <c r="O30" i="8"/>
  <c r="O13" i="8"/>
  <c r="O27" i="8" s="1"/>
  <c r="O28" i="8" s="1"/>
  <c r="O17" i="8"/>
  <c r="O20" i="8" s="1"/>
  <c r="O5" i="9"/>
  <c r="P8" i="9" l="1"/>
  <c r="P9" i="9"/>
  <c r="Q16" i="6"/>
  <c r="Q21" i="6" s="1"/>
  <c r="Q24" i="6" s="1"/>
  <c r="Q12" i="6" s="1"/>
  <c r="Q24" i="8" s="1"/>
  <c r="O14" i="8"/>
  <c r="O41" i="8" s="1"/>
  <c r="O42" i="8" s="1"/>
  <c r="P11" i="8"/>
  <c r="P12" i="9" s="1"/>
  <c r="P13" i="9" s="1"/>
  <c r="O29" i="8"/>
  <c r="O31" i="8" s="1"/>
  <c r="Q25" i="6" l="1"/>
  <c r="Q17" i="6" s="1"/>
  <c r="Q9" i="9" s="1"/>
  <c r="Q9" i="8"/>
  <c r="Q10" i="8" s="1"/>
  <c r="Q13" i="6"/>
  <c r="Q43" i="8" s="1"/>
  <c r="Q45" i="8" s="1"/>
  <c r="O37" i="8"/>
  <c r="O38" i="8" s="1"/>
  <c r="P30" i="8"/>
  <c r="P12" i="8"/>
  <c r="O7" i="9"/>
  <c r="O46" i="8"/>
  <c r="O6" i="9"/>
  <c r="R9" i="6" l="1"/>
  <c r="R23" i="6" s="1"/>
  <c r="Q8" i="9"/>
  <c r="O47" i="8"/>
  <c r="Q11" i="8"/>
  <c r="Q12" i="9" s="1"/>
  <c r="Q13" i="9" s="1"/>
  <c r="P13" i="8"/>
  <c r="P27" i="8" s="1"/>
  <c r="P28" i="8" s="1"/>
  <c r="P17" i="8"/>
  <c r="P20" i="8" s="1"/>
  <c r="G20" i="11"/>
  <c r="P5" i="9"/>
  <c r="R22" i="6" l="1"/>
  <c r="R16" i="6"/>
  <c r="R21" i="6" s="1"/>
  <c r="R24" i="6" s="1"/>
  <c r="R12" i="6" s="1"/>
  <c r="R24" i="8" s="1"/>
  <c r="P29" i="8"/>
  <c r="P31" i="8" s="1"/>
  <c r="P14" i="8"/>
  <c r="P41" i="8" s="1"/>
  <c r="P42" i="8" s="1"/>
  <c r="Q12" i="8"/>
  <c r="R9" i="8" l="1"/>
  <c r="R8" i="9" s="1"/>
  <c r="R13" i="6"/>
  <c r="R43" i="8" s="1"/>
  <c r="R45" i="8" s="1"/>
  <c r="R25" i="6"/>
  <c r="R17" i="6" s="1"/>
  <c r="B20" i="9" s="1"/>
  <c r="B11" i="11" s="1"/>
  <c r="Q17" i="8"/>
  <c r="Q20" i="8" s="1"/>
  <c r="Q13" i="8"/>
  <c r="Q27" i="8" s="1"/>
  <c r="Q28" i="8" s="1"/>
  <c r="Q5" i="9"/>
  <c r="P7" i="9"/>
  <c r="P46" i="8"/>
  <c r="P6" i="9"/>
  <c r="G22" i="11"/>
  <c r="Q30" i="8"/>
  <c r="P37" i="8"/>
  <c r="P38" i="8" s="1"/>
  <c r="B21" i="9"/>
  <c r="B12" i="11" s="1"/>
  <c r="R10" i="8" l="1"/>
  <c r="R11" i="8" s="1"/>
  <c r="R12" i="9" s="1"/>
  <c r="R9" i="9"/>
  <c r="P47" i="8"/>
  <c r="Q14" i="8"/>
  <c r="Q41" i="8" s="1"/>
  <c r="Q42" i="8" s="1"/>
  <c r="Q46" i="8" s="1"/>
  <c r="Q29" i="8"/>
  <c r="Q31" i="8" s="1"/>
  <c r="Q6" i="9" l="1"/>
  <c r="Q7" i="9"/>
  <c r="R13" i="9"/>
  <c r="B18" i="9"/>
  <c r="B9" i="11" s="1"/>
  <c r="B16" i="9"/>
  <c r="B7" i="11" s="1"/>
  <c r="R30" i="8"/>
  <c r="Q37" i="8"/>
  <c r="Q38" i="8" s="1"/>
  <c r="Q47" i="8" s="1"/>
  <c r="R12" i="8"/>
  <c r="R17" i="8" l="1"/>
  <c r="R20" i="8" s="1"/>
  <c r="R13" i="8"/>
  <c r="R27" i="8" s="1"/>
  <c r="R28" i="8" s="1"/>
  <c r="R5" i="9"/>
  <c r="B19" i="9"/>
  <c r="B10" i="11" s="1"/>
  <c r="B17" i="9"/>
  <c r="B8" i="11" s="1"/>
  <c r="R14" i="8" l="1"/>
  <c r="R41" i="8" s="1"/>
  <c r="R42" i="8" s="1"/>
  <c r="R29" i="8"/>
  <c r="R31" i="8" s="1"/>
  <c r="R37" i="8" s="1"/>
  <c r="R38" i="8" s="1"/>
  <c r="R7" i="9" l="1"/>
  <c r="R46" i="8"/>
  <c r="R47" i="8" s="1"/>
  <c r="B30" i="11" s="1"/>
  <c r="R6" i="9"/>
</calcChain>
</file>

<file path=xl/sharedStrings.xml><?xml version="1.0" encoding="utf-8"?>
<sst xmlns="http://schemas.openxmlformats.org/spreadsheetml/2006/main" count="536" uniqueCount="315">
  <si>
    <t>PROJECT TIMELINE</t>
  </si>
  <si>
    <t>Construction Start</t>
  </si>
  <si>
    <t>Apr-2018</t>
  </si>
  <si>
    <t>Construction End</t>
  </si>
  <si>
    <t>Mar-2020</t>
  </si>
  <si>
    <t>Operations Start</t>
  </si>
  <si>
    <t>Apr-2020</t>
  </si>
  <si>
    <t>Model Horizon (Operating Years)</t>
  </si>
  <si>
    <t>years</t>
  </si>
  <si>
    <t>CAPACITY &amp; GENERATION</t>
  </si>
  <si>
    <t>Number of Turbines</t>
  </si>
  <si>
    <t>units</t>
  </si>
  <si>
    <t>Capacity per Turbine (kW)</t>
  </si>
  <si>
    <t>kW</t>
  </si>
  <si>
    <t>Total Installed Capacity (kW)</t>
  </si>
  <si>
    <t>Efficiency (Base)</t>
  </si>
  <si>
    <t>%</t>
  </si>
  <si>
    <t>Efficiency Step-Up (every 2 yrs)</t>
  </si>
  <si>
    <t>Annual Degradation</t>
  </si>
  <si>
    <t>Hours in Year</t>
  </si>
  <si>
    <t>hrs</t>
  </si>
  <si>
    <t>PRICING &amp; MARKET</t>
  </si>
  <si>
    <t>Tariff Escalation</t>
  </si>
  <si>
    <t>% p.a.</t>
  </si>
  <si>
    <t>Market Demand (MW)</t>
  </si>
  <si>
    <t>MW</t>
  </si>
  <si>
    <t>Market Demand Growth</t>
  </si>
  <si>
    <t>every 2 yrs</t>
  </si>
  <si>
    <t>Market Share Yr 1-2</t>
  </si>
  <si>
    <t>Market Share Yr 3+</t>
  </si>
  <si>
    <t>Other Income (% of Gross Rev)</t>
  </si>
  <si>
    <t>FIXED COSTS (Base Mar-2020)</t>
  </si>
  <si>
    <t>Fixed Cost Escalation</t>
  </si>
  <si>
    <t>VARIABLE COSTS (% of Revenue)</t>
  </si>
  <si>
    <t>Selling</t>
  </si>
  <si>
    <t>Marketing</t>
  </si>
  <si>
    <t>Other Variable</t>
  </si>
  <si>
    <t>MANPOWER</t>
  </si>
  <si>
    <t>Initial Employees</t>
  </si>
  <si>
    <t>headcount</t>
  </si>
  <si>
    <t>Annual Increase</t>
  </si>
  <si>
    <t>per year</t>
  </si>
  <si>
    <t>Manpower Escalation</t>
  </si>
  <si>
    <t>GOVERNMENT REVENUE SHARE</t>
  </si>
  <si>
    <t>Revenue Share %</t>
  </si>
  <si>
    <t>Fixed Minimum Escalation</t>
  </si>
  <si>
    <t>CAPEX</t>
  </si>
  <si>
    <t>Useful Life (years)</t>
  </si>
  <si>
    <t>FINANCING</t>
  </si>
  <si>
    <t>Debt Gearing</t>
  </si>
  <si>
    <t>Equity Gearing</t>
  </si>
  <si>
    <t>Construction Interest Rate</t>
  </si>
  <si>
    <t>Operations Interest Rate</t>
  </si>
  <si>
    <t>DSCR Constraint (min)</t>
  </si>
  <si>
    <t>x</t>
  </si>
  <si>
    <t>Repayment Method (1=Sculpted,2=Equal,3=Bullet)</t>
  </si>
  <si>
    <t>toggle</t>
  </si>
  <si>
    <t>WORKING CAPITAL</t>
  </si>
  <si>
    <t>Days Sales Outstanding (DSO)</t>
  </si>
  <si>
    <t>days</t>
  </si>
  <si>
    <t>Days Payable Outstanding (DPO)</t>
  </si>
  <si>
    <t>Inventory Days</t>
  </si>
  <si>
    <t>TAX</t>
  </si>
  <si>
    <t>Corporate Tax Rate (New Regime)</t>
  </si>
  <si>
    <t>% (25.17% incl cess)</t>
  </si>
  <si>
    <t>MAT Rate</t>
  </si>
  <si>
    <t>% (17.13%)</t>
  </si>
  <si>
    <t>DIVIDEND</t>
  </si>
  <si>
    <t>Payout Ratio</t>
  </si>
  <si>
    <t>Retention Ratio</t>
  </si>
  <si>
    <t>SCENARIO SELECTOR</t>
  </si>
  <si>
    <t>Scenario (1=Base,2=Down,3=Up)</t>
  </si>
  <si>
    <t>Year Index</t>
  </si>
  <si>
    <t>Fiscal Year</t>
  </si>
  <si>
    <t>FY2019</t>
  </si>
  <si>
    <t>FY2020</t>
  </si>
  <si>
    <t>FY2021</t>
  </si>
  <si>
    <t>FY2022</t>
  </si>
  <si>
    <t>FY2023</t>
  </si>
  <si>
    <t>FY2024</t>
  </si>
  <si>
    <t>FY2025</t>
  </si>
  <si>
    <t>FY2026</t>
  </si>
  <si>
    <t>FY2027</t>
  </si>
  <si>
    <t>FY2028</t>
  </si>
  <si>
    <t>FY2029</t>
  </si>
  <si>
    <t>FY2030</t>
  </si>
  <si>
    <t>FY2031</t>
  </si>
  <si>
    <t>FY2032</t>
  </si>
  <si>
    <t>FY2033</t>
  </si>
  <si>
    <t>FY2034</t>
  </si>
  <si>
    <t>FY2035</t>
  </si>
  <si>
    <t>Phase</t>
  </si>
  <si>
    <t>Construction</t>
  </si>
  <si>
    <t>Operations</t>
  </si>
  <si>
    <t>Operating Year</t>
  </si>
  <si>
    <t>Construction Flag (1/0)</t>
  </si>
  <si>
    <t>Operations Flag (1/0)</t>
  </si>
  <si>
    <t>Operations Flag</t>
  </si>
  <si>
    <t>GENERATION</t>
  </si>
  <si>
    <t>Installed Capacity (kW)</t>
  </si>
  <si>
    <t>Efficiency (Base %)</t>
  </si>
  <si>
    <t>Efficiency Step-Up Adj</t>
  </si>
  <si>
    <t>Degradation Factor</t>
  </si>
  <si>
    <t>Effective Efficiency</t>
  </si>
  <si>
    <t>Gross Generation (kWh)</t>
  </si>
  <si>
    <t>MARKET &amp; SALES</t>
  </si>
  <si>
    <t>Market Demand (kWh)</t>
  </si>
  <si>
    <t>Market Share (%)</t>
  </si>
  <si>
    <t>Addressable Demand (kWh)</t>
  </si>
  <si>
    <t>Actual Sales (kWh)</t>
  </si>
  <si>
    <t>PRICING</t>
  </si>
  <si>
    <t>REVENUE</t>
  </si>
  <si>
    <t>FIXED COSTS</t>
  </si>
  <si>
    <t>O&amp;M</t>
  </si>
  <si>
    <t>Rent</t>
  </si>
  <si>
    <t>G&amp;A</t>
  </si>
  <si>
    <t>Total Fixed Costs</t>
  </si>
  <si>
    <t>VARIABLE COSTS</t>
  </si>
  <si>
    <t>Selling (5% Rev)</t>
  </si>
  <si>
    <t>Marketing (7.5% Rev)</t>
  </si>
  <si>
    <t>Other Variable (2.5% Rev)</t>
  </si>
  <si>
    <t>Total Variable Costs</t>
  </si>
  <si>
    <t>Headcount</t>
  </si>
  <si>
    <t>GOVT REVENUE SHARE</t>
  </si>
  <si>
    <t>Revenue Share (24%)</t>
  </si>
  <si>
    <t>Fixed Minimum</t>
  </si>
  <si>
    <t>Govt Share (Higher of Above)</t>
  </si>
  <si>
    <t>TOTAL OPEX</t>
  </si>
  <si>
    <t>Total Operating Costs</t>
  </si>
  <si>
    <t>EBITDA</t>
  </si>
  <si>
    <t>CAPITAL EXPENDITURE</t>
  </si>
  <si>
    <t>Land</t>
  </si>
  <si>
    <t>Construction Assets</t>
  </si>
  <si>
    <t>Total Capex</t>
  </si>
  <si>
    <t>DEPRECIATION (SL, 5-yr life)</t>
  </si>
  <si>
    <t>Cumulative Depreciable Assets</t>
  </si>
  <si>
    <t>Annual Depreciation</t>
  </si>
  <si>
    <t>Cumulative Depreciation</t>
  </si>
  <si>
    <t>Net Book Value</t>
  </si>
  <si>
    <t>IDC AMORTIZATION</t>
  </si>
  <si>
    <t>IDC Capitalized (from Financing)</t>
  </si>
  <si>
    <t>Cumulative IDC</t>
  </si>
  <si>
    <t>IDC Amortization (SL, 5-yr)</t>
  </si>
  <si>
    <t>Cumulative IDC Amortization</t>
  </si>
  <si>
    <t>Total Depreciation + IDC Amort</t>
  </si>
  <si>
    <t>Adjusted NBV (incl IDC)</t>
  </si>
  <si>
    <t>SOURCES &amp; USES</t>
  </si>
  <si>
    <t>Total Capex (from Capex sheet)</t>
  </si>
  <si>
    <t>Debt Drawdown (60%)</t>
  </si>
  <si>
    <t>Equity Injection (40%)</t>
  </si>
  <si>
    <t>DEBT SCHEDULE</t>
  </si>
  <si>
    <t>Opening Balance</t>
  </si>
  <si>
    <t>Drawdown</t>
  </si>
  <si>
    <t>Interest During Construction (IDC)</t>
  </si>
  <si>
    <t>Repayment</t>
  </si>
  <si>
    <t>Closing Balance</t>
  </si>
  <si>
    <t>DEBT SERVICE</t>
  </si>
  <si>
    <t>Interest (Operations)</t>
  </si>
  <si>
    <t>DSCR</t>
  </si>
  <si>
    <t>REPAYMENT OPTIONS</t>
  </si>
  <si>
    <t>CFADS</t>
  </si>
  <si>
    <t>Sculpted Repayment</t>
  </si>
  <si>
    <t>Equal Principal</t>
  </si>
  <si>
    <t>Bullet Repayment</t>
  </si>
  <si>
    <t>Selected Repayment</t>
  </si>
  <si>
    <t>Total Debt Service</t>
  </si>
  <si>
    <t>WORKING CAPITAL SCHEDULE</t>
  </si>
  <si>
    <t>Total Revenue</t>
  </si>
  <si>
    <t>Total OpEx</t>
  </si>
  <si>
    <t>Accounts Receivable (DSO)</t>
  </si>
  <si>
    <t>Inventory</t>
  </si>
  <si>
    <t>Accounts Payable (DPO)</t>
  </si>
  <si>
    <t>Net Working Capital</t>
  </si>
  <si>
    <t>Change in Working Capital</t>
  </si>
  <si>
    <t>INCOME STATEMENT</t>
  </si>
  <si>
    <t>Depreciation</t>
  </si>
  <si>
    <t>EBIT</t>
  </si>
  <si>
    <t>Interest Expense</t>
  </si>
  <si>
    <t>Earnings Before Tax</t>
  </si>
  <si>
    <t>Income Tax</t>
  </si>
  <si>
    <t>Profit After Tax (PAT)</t>
  </si>
  <si>
    <t>Dividends (80% payout)</t>
  </si>
  <si>
    <t>Retained Earnings</t>
  </si>
  <si>
    <t>CASH FLOW STATEMENT</t>
  </si>
  <si>
    <t>PAT</t>
  </si>
  <si>
    <t>Add: Depreciation</t>
  </si>
  <si>
    <t>Cash from Operations</t>
  </si>
  <si>
    <t>Capex</t>
  </si>
  <si>
    <t>Cash from Investing</t>
  </si>
  <si>
    <t>Debt Drawdown</t>
  </si>
  <si>
    <t>Debt Repayment</t>
  </si>
  <si>
    <t>Equity Injection</t>
  </si>
  <si>
    <t>Interest (in PAT, not repeated)</t>
  </si>
  <si>
    <t>Dividends Paid</t>
  </si>
  <si>
    <t>Cash from Financing</t>
  </si>
  <si>
    <t>Net Cash Flow</t>
  </si>
  <si>
    <t>Opening Cash</t>
  </si>
  <si>
    <t>Closing Cash</t>
  </si>
  <si>
    <t>BALANCE SHEET</t>
  </si>
  <si>
    <t>Fixed Assets (NBV)</t>
  </si>
  <si>
    <t>Accounts Receivable</t>
  </si>
  <si>
    <t>Cash &amp; Equivalents</t>
  </si>
  <si>
    <t>Total Assets</t>
  </si>
  <si>
    <t>Share Capital</t>
  </si>
  <si>
    <t>Retained Earnings (Cumul)</t>
  </si>
  <si>
    <t>Total Equity</t>
  </si>
  <si>
    <t>Debt</t>
  </si>
  <si>
    <t>Accounts Payable</t>
  </si>
  <si>
    <t>Total Liabilities</t>
  </si>
  <si>
    <t>Total Equity + Liabilities</t>
  </si>
  <si>
    <t>Balance Sheet Check (Assets - L&amp;E)</t>
  </si>
  <si>
    <t>RATIOS &amp; VALUATION</t>
  </si>
  <si>
    <t>PROFITABILITY &amp; COVERAGE RATIOS</t>
  </si>
  <si>
    <t>EBITDA Margin</t>
  </si>
  <si>
    <t>Net Margin</t>
  </si>
  <si>
    <t>Return on Equity (ROE)</t>
  </si>
  <si>
    <t>Return on Capital Employed (ROCE)</t>
  </si>
  <si>
    <t>Interest Coverage Ratio</t>
  </si>
  <si>
    <t>CASH FLOWS FOR VALUATION</t>
  </si>
  <si>
    <t>Project FCF (Unlevered)</t>
  </si>
  <si>
    <t>Equity FCF (Levered)</t>
  </si>
  <si>
    <t>VALUATION METRICS</t>
  </si>
  <si>
    <t>Project IRR</t>
  </si>
  <si>
    <t>Equity IRR</t>
  </si>
  <si>
    <t>Minimum DSCR (Operations)</t>
  </si>
  <si>
    <t>Average DSCR (Operations)</t>
  </si>
  <si>
    <t>SCENARIO &amp; SENSITIVITY ANALYSIS</t>
  </si>
  <si>
    <t>SCENARIO DEFINITIONS</t>
  </si>
  <si>
    <t>Parameter</t>
  </si>
  <si>
    <t>Base Case</t>
  </si>
  <si>
    <t>Downside</t>
  </si>
  <si>
    <t>Upside</t>
  </si>
  <si>
    <t>Tariff Escalation (%)</t>
  </si>
  <si>
    <t>2.0%</t>
  </si>
  <si>
    <t>1.0%</t>
  </si>
  <si>
    <t>3.0%</t>
  </si>
  <si>
    <t>26.7%</t>
  </si>
  <si>
    <t>22.0%</t>
  </si>
  <si>
    <t>30.0%</t>
  </si>
  <si>
    <t>13.0%</t>
  </si>
  <si>
    <t>15.0%</t>
  </si>
  <si>
    <t>11.0%</t>
  </si>
  <si>
    <t>SENSITIVITY ANALYSIS</t>
  </si>
  <si>
    <t>TARIFF SENSITIVITY ON PROJECT IRR</t>
  </si>
  <si>
    <t>Project IRR Impact</t>
  </si>
  <si>
    <t>Run model</t>
  </si>
  <si>
    <t>CAPEX SENSITIVITY ON PROJECT IRR</t>
  </si>
  <si>
    <t>Capex Var (%)</t>
  </si>
  <si>
    <t>-20%</t>
  </si>
  <si>
    <t>-10%</t>
  </si>
  <si>
    <t>0%</t>
  </si>
  <si>
    <t>10%</t>
  </si>
  <si>
    <t>20%</t>
  </si>
  <si>
    <t>INTEREST RATE SENSITIVITY ON DSCR</t>
  </si>
  <si>
    <t>Interest Rate (%)</t>
  </si>
  <si>
    <t>11%</t>
  </si>
  <si>
    <t>12%</t>
  </si>
  <si>
    <t>13%</t>
  </si>
  <si>
    <t>14%</t>
  </si>
  <si>
    <t>15%</t>
  </si>
  <si>
    <t>Min DSCR</t>
  </si>
  <si>
    <t>EFFICIENCY SENSITIVITY ON REVENUE</t>
  </si>
  <si>
    <t>Base Efficiency (%)</t>
  </si>
  <si>
    <t>23%</t>
  </si>
  <si>
    <t>30%</t>
  </si>
  <si>
    <t>33%</t>
  </si>
  <si>
    <t>Yr 1 Revenue Impact</t>
  </si>
  <si>
    <t>Note: Change inputs in Assumptions sheet and observe outputs.</t>
  </si>
  <si>
    <t>Toggle scenario via 'Scenario Selector' row in Assumptions.</t>
  </si>
  <si>
    <t>WIND ENERGY PROJECT – EXECUTIVE DASHBOARD</t>
  </si>
  <si>
    <t>KEY PERFORMANCE INDICATORS</t>
  </si>
  <si>
    <t>Total Installed Capacity (MW)</t>
  </si>
  <si>
    <t>Debt / Equity Split</t>
  </si>
  <si>
    <t>Avg DSCR</t>
  </si>
  <si>
    <t>Repayment Method</t>
  </si>
  <si>
    <t>OPERATING SUMMARY (Selected Years)</t>
  </si>
  <si>
    <t>Revenue</t>
  </si>
  <si>
    <t>Total Debt</t>
  </si>
  <si>
    <t>Cash Balance</t>
  </si>
  <si>
    <t>DEBT SERVICE PROFILE</t>
  </si>
  <si>
    <t>See Financing sheet for full debt schedule</t>
  </si>
  <si>
    <t>MODEL INTEGRITY CHECKS</t>
  </si>
  <si>
    <t>Balance Sheet Check (all years)</t>
  </si>
  <si>
    <t>Sources = Uses Check</t>
  </si>
  <si>
    <t>WIND ENERGY PROJECT – KEY ASSUMPTIONS (USD millions)</t>
  </si>
  <si>
    <t>Electricity Tariff ($/kWh)</t>
  </si>
  <si>
    <t>$/kWh</t>
  </si>
  <si>
    <t>O&amp;M ($ mn)</t>
  </si>
  <si>
    <t>$ mn</t>
  </si>
  <si>
    <t>Rent ($ mn)</t>
  </si>
  <si>
    <t>G&amp;A ($ mn)</t>
  </si>
  <si>
    <t>Cost per Employee ($)</t>
  </si>
  <si>
    <t>$</t>
  </si>
  <si>
    <t>Fixed Minimum ($ mn)</t>
  </si>
  <si>
    <t>Land ($ mn)</t>
  </si>
  <si>
    <t>Construction Yr 1 ($ mn)</t>
  </si>
  <si>
    <t>Construction Yr 2 ($ mn)</t>
  </si>
  <si>
    <t>Minimum Cash Balance ($ mn)</t>
  </si>
  <si>
    <t>Capex - Construction Yr1 ($ mn)</t>
  </si>
  <si>
    <t>Tariff ($/kWh)</t>
  </si>
  <si>
    <t>REVENUE MODEL ($ millions)</t>
  </si>
  <si>
    <t>Gross Revenue ($ mn)</t>
  </si>
  <si>
    <t>Other Income ($ mn)</t>
  </si>
  <si>
    <t>Total Revenue ($ mn)</t>
  </si>
  <si>
    <t>OPERATING COST MODEL ($ millions)</t>
  </si>
  <si>
    <t>Total Manpower Cost ($ mn)</t>
  </si>
  <si>
    <t>CAPEX &amp; DEPRECIATION ($ millions)</t>
  </si>
  <si>
    <t>FINANCING SCHEDULE ($ millions)</t>
  </si>
  <si>
    <t>WORKING CAPITAL ($ millions)</t>
  </si>
  <si>
    <t>FINANCIAL STATEMENTS ($ millions)</t>
  </si>
  <si>
    <t>Project NPV ($ mn) @10%</t>
  </si>
  <si>
    <t>Equity NPV ($ mn) @15%</t>
  </si>
  <si>
    <t>Total Capex ($ mn)</t>
  </si>
  <si>
    <t>Project NPV @10% ($ mn)</t>
  </si>
  <si>
    <t>Equity NPV @15% ($ mn)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</si>
</sst>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\x"/>
    <numFmt numFmtId="165" formatCode="#,##0.0;\(#,##0.0\);\-"/>
    <numFmt numFmtId="166" formatCode="0.0%;\(0.0%\);\-"/>
    <numFmt numFmtId="167" formatCode="&quot;₹&quot;#,##0.0;\(&quot;₹&quot;#,##0.0\);\-"/>
  </numFmts>
  <fonts count="10" x14ac:knownFonts="1">
    <font>
      <sz val="11"/>
      <color theme="1"/>
      <name val="Calibri"/>
      <family val="2"/>
      <charset val="1"/>
    </font>
    <font>
      <b/>
      <sz val="14"/>
      <color rgb="FF000000"/>
      <name val="Arial"/>
      <family val="2"/>
    </font>
    <font>
      <b/>
      <sz val="11"/>
      <color rgb="FF1F4E79"/>
      <name val="Arial"/>
      <family val="2"/>
    </font>
    <font>
      <b/>
      <sz val="10"/>
      <color rgb="FF000000"/>
      <name val="Arial"/>
      <family val="2"/>
    </font>
    <font>
      <sz val="10"/>
      <color rgb="FF0000FF"/>
      <name val="Arial"/>
      <family val="2"/>
    </font>
    <font>
      <i/>
      <sz val="9"/>
      <color rgb="FF808080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sz val="10"/>
      <color rgb="FF008000"/>
      <name val="Arial"/>
      <family val="2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E6F1"/>
        <bgColor rgb="FFCCFFFF"/>
      </patternFill>
    </fill>
    <fill>
      <patternFill patternType="solid">
        <fgColor rgb="FF1F4E79"/>
        <bgColor rgb="FF003366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1" xfId="0" applyFill="1" applyBorder="1"/>
    <xf numFmtId="164" fontId="6" fillId="0" borderId="0" xfId="0" applyNumberFormat="1" applyFont="1"/>
    <xf numFmtId="0" fontId="1" fillId="0" borderId="0" xfId="0" applyFont="1"/>
    <xf numFmtId="0" fontId="7" fillId="3" borderId="1" xfId="0" applyFont="1" applyFill="1" applyBorder="1" applyAlignment="1">
      <alignment horizontal="center" wrapText="1"/>
    </xf>
    <xf numFmtId="0" fontId="3" fillId="0" borderId="0" xfId="0" applyFont="1"/>
    <xf numFmtId="0" fontId="8" fillId="0" borderId="0" xfId="0" applyFont="1"/>
    <xf numFmtId="0" fontId="2" fillId="2" borderId="1" xfId="0" applyFont="1" applyFill="1" applyBorder="1"/>
    <xf numFmtId="0" fontId="4" fillId="0" borderId="0" xfId="0" applyFont="1"/>
    <xf numFmtId="0" fontId="5" fillId="0" borderId="0" xfId="0" applyFont="1"/>
    <xf numFmtId="165" fontId="4" fillId="0" borderId="0" xfId="0" applyNumberFormat="1" applyFont="1"/>
    <xf numFmtId="165" fontId="6" fillId="0" borderId="0" xfId="0" applyNumberFormat="1" applyFont="1"/>
    <xf numFmtId="0" fontId="6" fillId="0" borderId="0" xfId="0" applyFont="1"/>
    <xf numFmtId="165" fontId="8" fillId="0" borderId="0" xfId="0" applyNumberFormat="1" applyFont="1"/>
    <xf numFmtId="166" fontId="6" fillId="0" borderId="0" xfId="0" applyNumberFormat="1" applyFont="1"/>
    <xf numFmtId="167" fontId="6" fillId="0" borderId="0" xfId="0" applyNumberFormat="1" applyFont="1"/>
    <xf numFmtId="0" fontId="2" fillId="2" borderId="0" xfId="0" applyFont="1" applyFill="1"/>
    <xf numFmtId="0" fontId="0" fillId="2" borderId="0" xfId="0" applyFill="1"/>
    <xf numFmtId="165" fontId="6" fillId="4" borderId="0" xfId="0" applyNumberFormat="1" applyFont="1" applyFill="1"/>
    <xf numFmtId="0" fontId="7" fillId="3" borderId="0" xfId="0" applyFont="1" applyFill="1"/>
    <xf numFmtId="0" fontId="2" fillId="0" borderId="0" xfId="0" applyFont="1"/>
    <xf numFmtId="166" fontId="8" fillId="0" borderId="0" xfId="0" applyNumberFormat="1" applyFont="1"/>
    <xf numFmtId="164" fontId="8" fillId="0" borderId="0" xfId="0" applyNumberFormat="1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1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9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C4047691-5567-4CE4-802E-FCFD3670C4A1}">
  <we:reference id="29673e3c-d826-4f00-92ee-162334a52b1a" version="1.0.0.8" store="EXCatalog" storeType="EXCatalog"/>
  <we:alternateReferences>
    <we:reference id="WA200009404" version="1.0.0.8" store="en-US" storeType="OMEX"/>
  </we:alternateReferences>
  <we:properties>
    <we:property name="claude.fileId" value="&quot;ec011d94-f4eb-44b0-93a0-066ea604eb4f&quot;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D78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9" sqref="B29"/>
    </sheetView>
  </sheetViews>
  <sheetFormatPr defaultColWidth="8.6640625" defaultRowHeight="14.4" x14ac:dyDescent="0.3"/>
  <cols>
    <col min="1" max="1" width="40" customWidth="1"/>
    <col min="2" max="3" width="18" customWidth="1"/>
    <col min="4" max="4" width="50" customWidth="1"/>
  </cols>
  <sheetData>
    <row r="1" spans="1:4" ht="17.25" customHeight="1" x14ac:dyDescent="0.3">
      <c r="A1" s="3" t="s">
        <v>284</v>
      </c>
    </row>
    <row r="3" spans="1:4" ht="15" customHeight="1" x14ac:dyDescent="0.3">
      <c r="A3" s="7" t="s">
        <v>0</v>
      </c>
      <c r="B3" s="1"/>
      <c r="C3" s="1"/>
      <c r="D3" s="1"/>
    </row>
    <row r="4" spans="1:4" ht="15" customHeight="1" x14ac:dyDescent="0.3">
      <c r="A4" s="5" t="s">
        <v>1</v>
      </c>
      <c r="B4" s="8" t="s">
        <v>2</v>
      </c>
      <c r="C4" s="9"/>
    </row>
    <row r="5" spans="1:4" ht="15" customHeight="1" x14ac:dyDescent="0.3">
      <c r="A5" s="5" t="s">
        <v>3</v>
      </c>
      <c r="B5" s="8" t="s">
        <v>4</v>
      </c>
      <c r="C5" s="9"/>
    </row>
    <row r="6" spans="1:4" ht="15" customHeight="1" x14ac:dyDescent="0.3">
      <c r="A6" s="5" t="s">
        <v>5</v>
      </c>
      <c r="B6" s="8" t="s">
        <v>6</v>
      </c>
      <c r="C6" s="9"/>
    </row>
    <row r="7" spans="1:4" ht="15" customHeight="1" x14ac:dyDescent="0.3">
      <c r="A7" s="5" t="s">
        <v>7</v>
      </c>
      <c r="B7" s="10">
        <v>15</v>
      </c>
      <c r="C7" s="9" t="s">
        <v>8</v>
      </c>
    </row>
    <row r="9" spans="1:4" ht="15" customHeight="1" x14ac:dyDescent="0.3">
      <c r="A9" s="7" t="s">
        <v>9</v>
      </c>
      <c r="B9" s="1"/>
      <c r="C9" s="1"/>
      <c r="D9" s="1"/>
    </row>
    <row r="10" spans="1:4" ht="15" customHeight="1" x14ac:dyDescent="0.3">
      <c r="A10" s="5" t="s">
        <v>10</v>
      </c>
      <c r="B10" s="10">
        <v>13</v>
      </c>
      <c r="C10" s="9" t="s">
        <v>11</v>
      </c>
    </row>
    <row r="11" spans="1:4" ht="15" customHeight="1" x14ac:dyDescent="0.3">
      <c r="A11" s="5" t="s">
        <v>12</v>
      </c>
      <c r="B11" s="10">
        <v>1923</v>
      </c>
      <c r="C11" s="9" t="s">
        <v>13</v>
      </c>
    </row>
    <row r="12" spans="1:4" ht="15" customHeight="1" x14ac:dyDescent="0.3">
      <c r="A12" s="5" t="s">
        <v>14</v>
      </c>
      <c r="B12" s="11">
        <f>B10*B11</f>
        <v>24999</v>
      </c>
      <c r="C12" s="9" t="s">
        <v>13</v>
      </c>
    </row>
    <row r="13" spans="1:4" ht="15" customHeight="1" x14ac:dyDescent="0.3">
      <c r="A13" s="5" t="s">
        <v>15</v>
      </c>
      <c r="B13" s="10">
        <v>0.26700000000000002</v>
      </c>
      <c r="C13" s="9" t="s">
        <v>16</v>
      </c>
    </row>
    <row r="14" spans="1:4" ht="15" customHeight="1" x14ac:dyDescent="0.3">
      <c r="A14" s="5" t="s">
        <v>17</v>
      </c>
      <c r="B14" s="10">
        <v>0.05</v>
      </c>
      <c r="C14" s="9" t="s">
        <v>16</v>
      </c>
    </row>
    <row r="15" spans="1:4" ht="15" customHeight="1" x14ac:dyDescent="0.3">
      <c r="A15" s="5" t="s">
        <v>18</v>
      </c>
      <c r="B15" s="10">
        <v>0.02</v>
      </c>
      <c r="C15" s="9" t="s">
        <v>16</v>
      </c>
    </row>
    <row r="16" spans="1:4" ht="15" customHeight="1" x14ac:dyDescent="0.3">
      <c r="A16" s="5" t="s">
        <v>19</v>
      </c>
      <c r="B16" s="10">
        <v>8760</v>
      </c>
      <c r="C16" s="9" t="s">
        <v>20</v>
      </c>
    </row>
    <row r="18" spans="1:4" ht="15" customHeight="1" x14ac:dyDescent="0.3">
      <c r="A18" s="7" t="s">
        <v>21</v>
      </c>
      <c r="B18" s="1"/>
      <c r="C18" s="1"/>
      <c r="D18" s="1"/>
    </row>
    <row r="19" spans="1:4" ht="15" customHeight="1" x14ac:dyDescent="0.3">
      <c r="A19" s="5" t="s">
        <v>285</v>
      </c>
      <c r="B19" s="10">
        <v>1.4117647058823499</v>
      </c>
      <c r="C19" s="9" t="s">
        <v>286</v>
      </c>
    </row>
    <row r="20" spans="1:4" ht="15" customHeight="1" x14ac:dyDescent="0.3">
      <c r="A20" s="5" t="s">
        <v>22</v>
      </c>
      <c r="B20" s="10">
        <v>0.02</v>
      </c>
      <c r="C20" s="9" t="s">
        <v>23</v>
      </c>
    </row>
    <row r="21" spans="1:4" ht="15" customHeight="1" x14ac:dyDescent="0.3">
      <c r="A21" s="5" t="s">
        <v>24</v>
      </c>
      <c r="B21" s="10">
        <v>35</v>
      </c>
      <c r="C21" s="9" t="s">
        <v>25</v>
      </c>
    </row>
    <row r="22" spans="1:4" ht="15" customHeight="1" x14ac:dyDescent="0.3">
      <c r="A22" s="5" t="s">
        <v>26</v>
      </c>
      <c r="B22" s="10">
        <v>0.03</v>
      </c>
      <c r="C22" s="9" t="s">
        <v>27</v>
      </c>
    </row>
    <row r="23" spans="1:4" ht="15" customHeight="1" x14ac:dyDescent="0.3">
      <c r="A23" s="5" t="s">
        <v>28</v>
      </c>
      <c r="B23" s="10">
        <v>0.15</v>
      </c>
      <c r="C23" s="9" t="s">
        <v>16</v>
      </c>
    </row>
    <row r="24" spans="1:4" ht="15" customHeight="1" x14ac:dyDescent="0.3">
      <c r="A24" s="5" t="s">
        <v>29</v>
      </c>
      <c r="B24" s="10">
        <v>0.2</v>
      </c>
      <c r="C24" s="9" t="s">
        <v>16</v>
      </c>
    </row>
    <row r="25" spans="1:4" ht="15" customHeight="1" x14ac:dyDescent="0.3">
      <c r="A25" s="5" t="s">
        <v>30</v>
      </c>
      <c r="B25" s="10">
        <v>0.03</v>
      </c>
      <c r="C25" s="9" t="s">
        <v>16</v>
      </c>
    </row>
    <row r="27" spans="1:4" ht="15" customHeight="1" x14ac:dyDescent="0.3">
      <c r="A27" s="7" t="s">
        <v>31</v>
      </c>
      <c r="B27" s="1"/>
      <c r="C27" s="1"/>
      <c r="D27" s="1"/>
    </row>
    <row r="28" spans="1:4" ht="15" customHeight="1" x14ac:dyDescent="0.3">
      <c r="A28" s="5" t="s">
        <v>287</v>
      </c>
      <c r="B28" s="10">
        <v>10.588235294117601</v>
      </c>
      <c r="C28" s="9" t="s">
        <v>288</v>
      </c>
    </row>
    <row r="29" spans="1:4" ht="15" customHeight="1" x14ac:dyDescent="0.3">
      <c r="A29" s="5" t="s">
        <v>289</v>
      </c>
      <c r="B29" s="10">
        <v>8.8235294117647101</v>
      </c>
      <c r="C29" s="9" t="s">
        <v>288</v>
      </c>
    </row>
    <row r="30" spans="1:4" ht="15" customHeight="1" x14ac:dyDescent="0.3">
      <c r="A30" s="5" t="s">
        <v>290</v>
      </c>
      <c r="B30" s="10">
        <v>2.9411764705882399</v>
      </c>
      <c r="C30" s="9" t="s">
        <v>288</v>
      </c>
    </row>
    <row r="31" spans="1:4" ht="15" customHeight="1" x14ac:dyDescent="0.3">
      <c r="A31" s="5" t="s">
        <v>32</v>
      </c>
      <c r="B31" s="10">
        <v>0.04</v>
      </c>
      <c r="C31" s="9" t="s">
        <v>23</v>
      </c>
    </row>
    <row r="33" spans="1:4" ht="15" customHeight="1" x14ac:dyDescent="0.3">
      <c r="A33" s="7" t="s">
        <v>33</v>
      </c>
      <c r="B33" s="1"/>
      <c r="C33" s="1"/>
      <c r="D33" s="1"/>
    </row>
    <row r="34" spans="1:4" ht="15" customHeight="1" x14ac:dyDescent="0.3">
      <c r="A34" s="5" t="s">
        <v>34</v>
      </c>
      <c r="B34" s="10">
        <v>0.05</v>
      </c>
      <c r="C34" s="9" t="s">
        <v>16</v>
      </c>
    </row>
    <row r="35" spans="1:4" ht="15" customHeight="1" x14ac:dyDescent="0.3">
      <c r="A35" s="5" t="s">
        <v>35</v>
      </c>
      <c r="B35" s="10">
        <v>7.4999999999999997E-2</v>
      </c>
      <c r="C35" s="9" t="s">
        <v>16</v>
      </c>
    </row>
    <row r="36" spans="1:4" ht="15" customHeight="1" x14ac:dyDescent="0.3">
      <c r="A36" s="5" t="s">
        <v>36</v>
      </c>
      <c r="B36" s="10">
        <v>2.5000000000000001E-2</v>
      </c>
      <c r="C36" s="9" t="s">
        <v>16</v>
      </c>
    </row>
    <row r="38" spans="1:4" ht="15" customHeight="1" x14ac:dyDescent="0.3">
      <c r="A38" s="7" t="s">
        <v>37</v>
      </c>
      <c r="B38" s="1"/>
      <c r="C38" s="1"/>
      <c r="D38" s="1"/>
    </row>
    <row r="39" spans="1:4" ht="15" customHeight="1" x14ac:dyDescent="0.3">
      <c r="A39" s="5" t="s">
        <v>38</v>
      </c>
      <c r="B39" s="10">
        <v>40</v>
      </c>
      <c r="C39" s="9" t="s">
        <v>39</v>
      </c>
    </row>
    <row r="40" spans="1:4" ht="15" customHeight="1" x14ac:dyDescent="0.3">
      <c r="A40" s="5" t="s">
        <v>40</v>
      </c>
      <c r="B40" s="10">
        <v>2</v>
      </c>
      <c r="C40" s="9" t="s">
        <v>41</v>
      </c>
    </row>
    <row r="41" spans="1:4" ht="15" customHeight="1" x14ac:dyDescent="0.3">
      <c r="A41" s="5" t="s">
        <v>291</v>
      </c>
      <c r="B41" s="10">
        <v>9411.7647058823495</v>
      </c>
      <c r="C41" s="9" t="s">
        <v>292</v>
      </c>
    </row>
    <row r="42" spans="1:4" ht="15" customHeight="1" x14ac:dyDescent="0.3">
      <c r="A42" s="5" t="s">
        <v>42</v>
      </c>
      <c r="B42" s="10">
        <v>0.06</v>
      </c>
      <c r="C42" s="9" t="s">
        <v>23</v>
      </c>
    </row>
    <row r="44" spans="1:4" ht="15" customHeight="1" x14ac:dyDescent="0.3">
      <c r="A44" s="7" t="s">
        <v>43</v>
      </c>
      <c r="B44" s="1"/>
      <c r="C44" s="1"/>
      <c r="D44" s="1"/>
    </row>
    <row r="45" spans="1:4" ht="15" customHeight="1" x14ac:dyDescent="0.3">
      <c r="A45" s="5" t="s">
        <v>44</v>
      </c>
      <c r="B45" s="10">
        <v>0.24</v>
      </c>
      <c r="C45" s="9" t="s">
        <v>16</v>
      </c>
    </row>
    <row r="46" spans="1:4" ht="15" customHeight="1" x14ac:dyDescent="0.3">
      <c r="A46" s="5" t="s">
        <v>293</v>
      </c>
      <c r="B46" s="10">
        <v>15.294117647058799</v>
      </c>
      <c r="C46" s="9" t="s">
        <v>288</v>
      </c>
    </row>
    <row r="47" spans="1:4" ht="15" customHeight="1" x14ac:dyDescent="0.3">
      <c r="A47" s="5" t="s">
        <v>45</v>
      </c>
      <c r="B47" s="10">
        <v>0.04</v>
      </c>
      <c r="C47" s="9" t="s">
        <v>23</v>
      </c>
    </row>
    <row r="49" spans="1:4" ht="15" customHeight="1" x14ac:dyDescent="0.3">
      <c r="A49" s="7" t="s">
        <v>46</v>
      </c>
      <c r="B49" s="1"/>
      <c r="C49" s="1"/>
      <c r="D49" s="1"/>
    </row>
    <row r="50" spans="1:4" ht="15" customHeight="1" x14ac:dyDescent="0.3">
      <c r="A50" s="5" t="s">
        <v>294</v>
      </c>
      <c r="B50" s="10">
        <v>23.529411764705898</v>
      </c>
      <c r="C50" s="9" t="s">
        <v>288</v>
      </c>
    </row>
    <row r="51" spans="1:4" ht="15" customHeight="1" x14ac:dyDescent="0.3">
      <c r="A51" s="5" t="s">
        <v>295</v>
      </c>
      <c r="B51" s="10">
        <v>21.176470588235301</v>
      </c>
      <c r="C51" s="9" t="s">
        <v>288</v>
      </c>
    </row>
    <row r="52" spans="1:4" ht="15" customHeight="1" x14ac:dyDescent="0.3">
      <c r="A52" s="5" t="s">
        <v>296</v>
      </c>
      <c r="B52" s="10">
        <v>5.8823529411764701</v>
      </c>
      <c r="C52" s="9" t="s">
        <v>288</v>
      </c>
    </row>
    <row r="53" spans="1:4" ht="15" customHeight="1" x14ac:dyDescent="0.3">
      <c r="A53" s="5" t="s">
        <v>47</v>
      </c>
      <c r="B53" s="10">
        <v>5</v>
      </c>
      <c r="C53" s="9" t="s">
        <v>8</v>
      </c>
    </row>
    <row r="55" spans="1:4" ht="15" customHeight="1" x14ac:dyDescent="0.3">
      <c r="A55" s="7" t="s">
        <v>48</v>
      </c>
      <c r="B55" s="1"/>
      <c r="C55" s="1"/>
      <c r="D55" s="1"/>
    </row>
    <row r="56" spans="1:4" ht="15" customHeight="1" x14ac:dyDescent="0.3">
      <c r="A56" s="5" t="s">
        <v>49</v>
      </c>
      <c r="B56" s="10">
        <v>0.6</v>
      </c>
      <c r="C56" s="9" t="s">
        <v>16</v>
      </c>
    </row>
    <row r="57" spans="1:4" ht="15" customHeight="1" x14ac:dyDescent="0.3">
      <c r="A57" s="5" t="s">
        <v>50</v>
      </c>
      <c r="B57" s="10">
        <v>0.4</v>
      </c>
      <c r="C57" s="9" t="s">
        <v>16</v>
      </c>
    </row>
    <row r="58" spans="1:4" ht="15" customHeight="1" x14ac:dyDescent="0.3">
      <c r="A58" s="5" t="s">
        <v>51</v>
      </c>
      <c r="B58" s="10">
        <v>0.105</v>
      </c>
      <c r="C58" s="9" t="s">
        <v>16</v>
      </c>
    </row>
    <row r="59" spans="1:4" ht="15" customHeight="1" x14ac:dyDescent="0.3">
      <c r="A59" s="5" t="s">
        <v>52</v>
      </c>
      <c r="B59" s="10">
        <v>0.13</v>
      </c>
      <c r="C59" s="9" t="s">
        <v>16</v>
      </c>
    </row>
    <row r="60" spans="1:4" ht="15" customHeight="1" x14ac:dyDescent="0.3">
      <c r="A60" s="5" t="s">
        <v>297</v>
      </c>
      <c r="B60" s="10">
        <v>1.76470588235294</v>
      </c>
      <c r="C60" s="9" t="s">
        <v>288</v>
      </c>
    </row>
    <row r="61" spans="1:4" ht="15" customHeight="1" x14ac:dyDescent="0.3">
      <c r="A61" s="5" t="s">
        <v>53</v>
      </c>
      <c r="B61" s="10">
        <v>1.2</v>
      </c>
      <c r="C61" s="9" t="s">
        <v>54</v>
      </c>
    </row>
    <row r="62" spans="1:4" ht="15" customHeight="1" x14ac:dyDescent="0.3">
      <c r="A62" s="5" t="s">
        <v>55</v>
      </c>
      <c r="B62" s="10">
        <v>1</v>
      </c>
      <c r="C62" s="9" t="s">
        <v>56</v>
      </c>
    </row>
    <row r="64" spans="1:4" ht="15" customHeight="1" x14ac:dyDescent="0.3">
      <c r="A64" s="7" t="s">
        <v>57</v>
      </c>
      <c r="B64" s="1"/>
      <c r="C64" s="1"/>
      <c r="D64" s="1"/>
    </row>
    <row r="65" spans="1:4" ht="15" customHeight="1" x14ac:dyDescent="0.3">
      <c r="A65" s="5" t="s">
        <v>58</v>
      </c>
      <c r="B65" s="10">
        <v>45</v>
      </c>
      <c r="C65" s="9" t="s">
        <v>59</v>
      </c>
    </row>
    <row r="66" spans="1:4" ht="15" customHeight="1" x14ac:dyDescent="0.3">
      <c r="A66" s="5" t="s">
        <v>60</v>
      </c>
      <c r="B66" s="10">
        <v>30</v>
      </c>
      <c r="C66" s="9" t="s">
        <v>59</v>
      </c>
    </row>
    <row r="67" spans="1:4" ht="15" customHeight="1" x14ac:dyDescent="0.3">
      <c r="A67" s="5" t="s">
        <v>61</v>
      </c>
      <c r="B67" s="10">
        <v>15</v>
      </c>
      <c r="C67" s="9" t="s">
        <v>59</v>
      </c>
    </row>
    <row r="69" spans="1:4" ht="15" customHeight="1" x14ac:dyDescent="0.3">
      <c r="A69" s="7" t="s">
        <v>62</v>
      </c>
      <c r="B69" s="1"/>
      <c r="C69" s="1"/>
      <c r="D69" s="1"/>
    </row>
    <row r="70" spans="1:4" ht="15" customHeight="1" x14ac:dyDescent="0.3">
      <c r="A70" s="5" t="s">
        <v>63</v>
      </c>
      <c r="B70" s="10">
        <v>0.25169999999999998</v>
      </c>
      <c r="C70" s="9" t="s">
        <v>64</v>
      </c>
    </row>
    <row r="71" spans="1:4" ht="15" customHeight="1" x14ac:dyDescent="0.3">
      <c r="A71" s="5" t="s">
        <v>65</v>
      </c>
      <c r="B71" s="10">
        <v>0.17130000000000001</v>
      </c>
      <c r="C71" s="9" t="s">
        <v>66</v>
      </c>
    </row>
    <row r="73" spans="1:4" ht="15" customHeight="1" x14ac:dyDescent="0.3">
      <c r="A73" s="7" t="s">
        <v>67</v>
      </c>
      <c r="B73" s="1"/>
      <c r="C73" s="1"/>
      <c r="D73" s="1"/>
    </row>
    <row r="74" spans="1:4" ht="15" customHeight="1" x14ac:dyDescent="0.3">
      <c r="A74" s="5" t="s">
        <v>68</v>
      </c>
      <c r="B74" s="10">
        <v>0.8</v>
      </c>
      <c r="C74" s="9" t="s">
        <v>16</v>
      </c>
    </row>
    <row r="75" spans="1:4" ht="15" customHeight="1" x14ac:dyDescent="0.3">
      <c r="A75" s="5" t="s">
        <v>69</v>
      </c>
      <c r="B75" s="10">
        <v>0.2</v>
      </c>
      <c r="C75" s="9" t="s">
        <v>16</v>
      </c>
    </row>
    <row r="77" spans="1:4" ht="15" customHeight="1" x14ac:dyDescent="0.3">
      <c r="A77" s="7" t="s">
        <v>70</v>
      </c>
      <c r="B77" s="1"/>
      <c r="C77" s="1"/>
      <c r="D77" s="1"/>
    </row>
    <row r="78" spans="1:4" ht="15" customHeight="1" x14ac:dyDescent="0.3">
      <c r="A78" s="5" t="s">
        <v>71</v>
      </c>
      <c r="B78" s="10">
        <v>1</v>
      </c>
      <c r="C78" s="9" t="s">
        <v>56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H31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8.6640625" defaultRowHeight="14.4" x14ac:dyDescent="0.3"/>
  <cols>
    <col min="1" max="1" width="35" customWidth="1"/>
    <col min="2" max="5" width="18" customWidth="1"/>
  </cols>
  <sheetData>
    <row r="1" spans="1:8" ht="17.25" customHeight="1" x14ac:dyDescent="0.3">
      <c r="A1" s="3" t="s">
        <v>226</v>
      </c>
    </row>
    <row r="3" spans="1:8" ht="15" customHeight="1" x14ac:dyDescent="0.3">
      <c r="A3" s="7" t="s">
        <v>227</v>
      </c>
      <c r="B3" s="1"/>
      <c r="C3" s="1"/>
      <c r="D3" s="1"/>
      <c r="E3" s="1"/>
    </row>
    <row r="4" spans="1:8" ht="15" customHeight="1" x14ac:dyDescent="0.3">
      <c r="A4" s="19" t="s">
        <v>228</v>
      </c>
      <c r="B4" s="19" t="s">
        <v>229</v>
      </c>
      <c r="C4" s="19" t="s">
        <v>230</v>
      </c>
      <c r="D4" s="19" t="s">
        <v>231</v>
      </c>
    </row>
    <row r="5" spans="1:8" ht="15" customHeight="1" x14ac:dyDescent="0.3">
      <c r="A5" s="5" t="s">
        <v>285</v>
      </c>
      <c r="B5" s="10">
        <v>1.4117647058823499</v>
      </c>
      <c r="C5" s="10">
        <v>1.1764705882352899</v>
      </c>
      <c r="D5" s="10">
        <v>1.6470588235294099</v>
      </c>
    </row>
    <row r="6" spans="1:8" ht="15" customHeight="1" x14ac:dyDescent="0.3">
      <c r="A6" s="5" t="s">
        <v>232</v>
      </c>
      <c r="B6" s="8" t="s">
        <v>233</v>
      </c>
      <c r="C6" s="8" t="s">
        <v>234</v>
      </c>
      <c r="D6" s="8" t="s">
        <v>235</v>
      </c>
    </row>
    <row r="7" spans="1:8" ht="15" customHeight="1" x14ac:dyDescent="0.3">
      <c r="A7" s="5" t="s">
        <v>15</v>
      </c>
      <c r="B7" s="8" t="s">
        <v>236</v>
      </c>
      <c r="C7" s="8" t="s">
        <v>237</v>
      </c>
      <c r="D7" s="8" t="s">
        <v>238</v>
      </c>
    </row>
    <row r="8" spans="1:8" ht="15" customHeight="1" x14ac:dyDescent="0.3">
      <c r="A8" s="5" t="s">
        <v>24</v>
      </c>
      <c r="B8" s="10">
        <v>35</v>
      </c>
      <c r="C8" s="10">
        <v>30</v>
      </c>
      <c r="D8" s="10">
        <v>45</v>
      </c>
    </row>
    <row r="9" spans="1:8" ht="15" customHeight="1" x14ac:dyDescent="0.3">
      <c r="A9" s="5" t="s">
        <v>298</v>
      </c>
      <c r="B9" s="10">
        <v>21.176470588235301</v>
      </c>
      <c r="C9" s="10">
        <v>24.705882352941199</v>
      </c>
      <c r="D9" s="10">
        <v>18.823529411764699</v>
      </c>
    </row>
    <row r="10" spans="1:8" ht="15" customHeight="1" x14ac:dyDescent="0.3">
      <c r="A10" s="5" t="s">
        <v>52</v>
      </c>
      <c r="B10" s="8" t="s">
        <v>239</v>
      </c>
      <c r="C10" s="8" t="s">
        <v>240</v>
      </c>
      <c r="D10" s="8" t="s">
        <v>241</v>
      </c>
    </row>
    <row r="13" spans="1:8" ht="15" customHeight="1" x14ac:dyDescent="0.3">
      <c r="A13" s="7" t="s">
        <v>242</v>
      </c>
      <c r="B13" s="1"/>
      <c r="C13" s="1"/>
      <c r="D13" s="1"/>
      <c r="E13" s="1"/>
    </row>
    <row r="14" spans="1:8" ht="15" customHeight="1" x14ac:dyDescent="0.3">
      <c r="A14" s="20" t="s">
        <v>243</v>
      </c>
    </row>
    <row r="15" spans="1:8" ht="15" customHeight="1" x14ac:dyDescent="0.3">
      <c r="A15" s="5" t="s">
        <v>299</v>
      </c>
      <c r="B15" s="10">
        <v>1.0588235294117601</v>
      </c>
      <c r="C15" s="10">
        <v>1.1764705882352899</v>
      </c>
      <c r="D15" s="10">
        <v>1.29411764705882</v>
      </c>
      <c r="E15" s="10">
        <v>1.4117647058823499</v>
      </c>
      <c r="F15" s="10">
        <v>1.52941176470588</v>
      </c>
      <c r="G15" s="10">
        <v>1.6470588235294099</v>
      </c>
      <c r="H15" s="10">
        <v>1.76470588235294</v>
      </c>
    </row>
    <row r="16" spans="1:8" ht="15" customHeight="1" x14ac:dyDescent="0.3">
      <c r="A16" s="5" t="s">
        <v>244</v>
      </c>
      <c r="B16" s="9" t="s">
        <v>245</v>
      </c>
      <c r="C16" s="9" t="s">
        <v>245</v>
      </c>
      <c r="D16" s="9" t="s">
        <v>245</v>
      </c>
      <c r="E16" s="9" t="s">
        <v>245</v>
      </c>
      <c r="F16" s="9" t="s">
        <v>245</v>
      </c>
      <c r="G16" s="9" t="s">
        <v>245</v>
      </c>
      <c r="H16" s="9" t="s">
        <v>245</v>
      </c>
    </row>
    <row r="18" spans="1:7" ht="15" customHeight="1" x14ac:dyDescent="0.3">
      <c r="A18" s="20" t="s">
        <v>246</v>
      </c>
    </row>
    <row r="19" spans="1:7" ht="15" customHeight="1" x14ac:dyDescent="0.3">
      <c r="A19" s="5" t="s">
        <v>247</v>
      </c>
      <c r="B19" s="8" t="s">
        <v>248</v>
      </c>
      <c r="C19" s="8" t="s">
        <v>249</v>
      </c>
      <c r="D19" s="8" t="s">
        <v>250</v>
      </c>
      <c r="E19" s="8" t="s">
        <v>251</v>
      </c>
      <c r="F19" s="8" t="s">
        <v>252</v>
      </c>
    </row>
    <row r="20" spans="1:7" ht="15" customHeight="1" x14ac:dyDescent="0.3">
      <c r="A20" s="5" t="s">
        <v>244</v>
      </c>
      <c r="B20" s="9" t="s">
        <v>245</v>
      </c>
      <c r="C20" s="9" t="s">
        <v>245</v>
      </c>
      <c r="D20" s="9" t="s">
        <v>245</v>
      </c>
      <c r="E20" s="9" t="s">
        <v>245</v>
      </c>
      <c r="F20" s="9" t="s">
        <v>245</v>
      </c>
    </row>
    <row r="22" spans="1:7" ht="15" customHeight="1" x14ac:dyDescent="0.3">
      <c r="A22" s="20" t="s">
        <v>253</v>
      </c>
    </row>
    <row r="23" spans="1:7" ht="15" customHeight="1" x14ac:dyDescent="0.3">
      <c r="A23" s="5" t="s">
        <v>254</v>
      </c>
      <c r="B23" s="8" t="s">
        <v>251</v>
      </c>
      <c r="C23" s="8" t="s">
        <v>255</v>
      </c>
      <c r="D23" s="8" t="s">
        <v>256</v>
      </c>
      <c r="E23" s="8" t="s">
        <v>257</v>
      </c>
      <c r="F23" s="8" t="s">
        <v>258</v>
      </c>
      <c r="G23" s="8" t="s">
        <v>259</v>
      </c>
    </row>
    <row r="24" spans="1:7" ht="15" customHeight="1" x14ac:dyDescent="0.3">
      <c r="A24" s="5" t="s">
        <v>260</v>
      </c>
      <c r="B24" s="9" t="s">
        <v>245</v>
      </c>
      <c r="C24" s="9" t="s">
        <v>245</v>
      </c>
      <c r="D24" s="9" t="s">
        <v>245</v>
      </c>
      <c r="E24" s="9" t="s">
        <v>245</v>
      </c>
      <c r="F24" s="9" t="s">
        <v>245</v>
      </c>
      <c r="G24" s="9" t="s">
        <v>245</v>
      </c>
    </row>
    <row r="26" spans="1:7" ht="15" customHeight="1" x14ac:dyDescent="0.3">
      <c r="A26" s="20" t="s">
        <v>261</v>
      </c>
    </row>
    <row r="27" spans="1:7" ht="15" customHeight="1" x14ac:dyDescent="0.3">
      <c r="A27" s="5" t="s">
        <v>262</v>
      </c>
      <c r="B27" s="8" t="s">
        <v>252</v>
      </c>
      <c r="C27" s="8" t="s">
        <v>263</v>
      </c>
      <c r="D27" s="8" t="s">
        <v>236</v>
      </c>
      <c r="E27" s="8" t="s">
        <v>264</v>
      </c>
      <c r="F27" s="8" t="s">
        <v>265</v>
      </c>
    </row>
    <row r="28" spans="1:7" ht="15" customHeight="1" x14ac:dyDescent="0.3">
      <c r="A28" s="5" t="s">
        <v>266</v>
      </c>
      <c r="B28" s="9" t="s">
        <v>245</v>
      </c>
      <c r="C28" s="9" t="s">
        <v>245</v>
      </c>
      <c r="D28" s="9" t="s">
        <v>245</v>
      </c>
      <c r="E28" s="9" t="s">
        <v>245</v>
      </c>
      <c r="F28" s="9" t="s">
        <v>245</v>
      </c>
    </row>
    <row r="30" spans="1:7" ht="15" customHeight="1" x14ac:dyDescent="0.3">
      <c r="A30" s="9" t="s">
        <v>267</v>
      </c>
    </row>
    <row r="31" spans="1:7" ht="15" customHeight="1" x14ac:dyDescent="0.3">
      <c r="A31" s="9" t="s">
        <v>268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G31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8.6640625" defaultRowHeight="14.4" x14ac:dyDescent="0.3"/>
  <cols>
    <col min="1" max="1" width="30" customWidth="1"/>
    <col min="2" max="6" width="20" customWidth="1"/>
  </cols>
  <sheetData>
    <row r="1" spans="1:6" ht="17.25" customHeight="1" x14ac:dyDescent="0.3">
      <c r="A1" s="3" t="s">
        <v>269</v>
      </c>
    </row>
    <row r="3" spans="1:6" ht="15" customHeight="1" x14ac:dyDescent="0.3">
      <c r="A3" s="7" t="s">
        <v>270</v>
      </c>
      <c r="B3" s="1"/>
      <c r="C3" s="1"/>
      <c r="D3" s="1"/>
      <c r="E3" s="1"/>
      <c r="F3" s="1"/>
    </row>
    <row r="4" spans="1:6" ht="15" customHeight="1" x14ac:dyDescent="0.3">
      <c r="A4" s="5" t="s">
        <v>271</v>
      </c>
      <c r="B4" s="13">
        <f>Assumptions!$B$12/1000</f>
        <v>24.998999999999999</v>
      </c>
    </row>
    <row r="5" spans="1:6" ht="15" customHeight="1" x14ac:dyDescent="0.3">
      <c r="A5" s="5" t="s">
        <v>312</v>
      </c>
      <c r="B5" s="13">
        <f>SUM(Capex_Depr!B6:R6)</f>
        <v>50.588235294117673</v>
      </c>
    </row>
    <row r="6" spans="1:6" ht="15" customHeight="1" x14ac:dyDescent="0.3">
      <c r="A6" s="5" t="s">
        <v>272</v>
      </c>
      <c r="B6" s="21">
        <f>Assumptions!$B$56</f>
        <v>0.6</v>
      </c>
    </row>
    <row r="7" spans="1:6" ht="15" customHeight="1" x14ac:dyDescent="0.3">
      <c r="A7" s="5" t="s">
        <v>222</v>
      </c>
      <c r="B7" s="21">
        <f>Ratios_Valuation!B16</f>
        <v>0.32336938275949412</v>
      </c>
    </row>
    <row r="8" spans="1:6" ht="15" customHeight="1" x14ac:dyDescent="0.3">
      <c r="A8" s="5" t="s">
        <v>223</v>
      </c>
      <c r="B8" s="21">
        <f>Ratios_Valuation!B17</f>
        <v>0.39158006197901796</v>
      </c>
    </row>
    <row r="9" spans="1:6" ht="15" customHeight="1" x14ac:dyDescent="0.3">
      <c r="A9" s="5" t="s">
        <v>313</v>
      </c>
      <c r="B9" s="13">
        <f>Ratios_Valuation!B18</f>
        <v>115.93865813480181</v>
      </c>
    </row>
    <row r="10" spans="1:6" ht="15" customHeight="1" x14ac:dyDescent="0.3">
      <c r="A10" s="5" t="s">
        <v>314</v>
      </c>
      <c r="B10" s="13">
        <f>Ratios_Valuation!B19</f>
        <v>64.421337831323243</v>
      </c>
    </row>
    <row r="11" spans="1:6" ht="15" customHeight="1" x14ac:dyDescent="0.3">
      <c r="A11" s="5" t="s">
        <v>260</v>
      </c>
      <c r="B11" s="22">
        <f>Ratios_Valuation!B20</f>
        <v>1.2</v>
      </c>
    </row>
    <row r="12" spans="1:6" ht="15" customHeight="1" x14ac:dyDescent="0.3">
      <c r="A12" s="5" t="s">
        <v>273</v>
      </c>
      <c r="B12" s="22">
        <f>Ratios_Valuation!B21</f>
        <v>1.3916687622763988</v>
      </c>
    </row>
    <row r="13" spans="1:6" ht="15" customHeight="1" x14ac:dyDescent="0.3">
      <c r="A13" s="5" t="s">
        <v>274</v>
      </c>
      <c r="B13" s="6" t="str">
        <f>IF(Assumptions!$B$62=1,"Sculpted",IF(Assumptions!$B$62=2,"Equal Principal","Bullet"))</f>
        <v>Sculpted</v>
      </c>
    </row>
    <row r="16" spans="1:6" ht="15" customHeight="1" x14ac:dyDescent="0.3">
      <c r="A16" s="7" t="s">
        <v>275</v>
      </c>
      <c r="B16" s="1"/>
      <c r="C16" s="1"/>
      <c r="D16" s="1"/>
      <c r="E16" s="1"/>
      <c r="F16" s="1"/>
    </row>
    <row r="17" spans="1:7" ht="15" customHeight="1" x14ac:dyDescent="0.3">
      <c r="B17" s="19" t="s">
        <v>74</v>
      </c>
      <c r="C17" s="19" t="s">
        <v>76</v>
      </c>
      <c r="D17" s="19" t="s">
        <v>78</v>
      </c>
      <c r="E17" s="19" t="s">
        <v>80</v>
      </c>
      <c r="F17" s="19" t="s">
        <v>83</v>
      </c>
      <c r="G17" s="19" t="s">
        <v>88</v>
      </c>
    </row>
    <row r="18" spans="1:7" ht="15" customHeight="1" x14ac:dyDescent="0.3">
      <c r="A18" s="5" t="s">
        <v>276</v>
      </c>
      <c r="B18" s="13">
        <f>Financials!B4</f>
        <v>0</v>
      </c>
      <c r="C18" s="13">
        <f>Financials!D4</f>
        <v>66.874870588235154</v>
      </c>
      <c r="D18" s="13">
        <f>Financials!F4</f>
        <v>95.551885094399822</v>
      </c>
      <c r="E18" s="13">
        <f>Financials!H4</f>
        <v>102.39454668977994</v>
      </c>
      <c r="F18" s="13">
        <f>Financials!K4</f>
        <v>111.92176946667506</v>
      </c>
      <c r="G18" s="13">
        <f>Financials!P4</f>
        <v>135.02901530641063</v>
      </c>
    </row>
    <row r="19" spans="1:7" ht="15" customHeight="1" x14ac:dyDescent="0.3">
      <c r="A19" s="5" t="s">
        <v>129</v>
      </c>
      <c r="B19" s="13">
        <f>Financials!B6</f>
        <v>0</v>
      </c>
      <c r="C19" s="13">
        <f>Financials!D6</f>
        <v>18.531734117647005</v>
      </c>
      <c r="D19" s="13">
        <f>Financials!F6</f>
        <v>34.312341650334048</v>
      </c>
      <c r="E19" s="13">
        <f>Financials!H6</f>
        <v>36.456319076793505</v>
      </c>
      <c r="F19" s="13">
        <f>Financials!K6</f>
        <v>38.875501521387847</v>
      </c>
      <c r="G19" s="13">
        <f>Financials!P6</f>
        <v>46.311760016429105</v>
      </c>
    </row>
    <row r="20" spans="1:7" ht="15" customHeight="1" x14ac:dyDescent="0.3">
      <c r="A20" s="5" t="s">
        <v>184</v>
      </c>
      <c r="B20" s="13">
        <f>Financials!B12</f>
        <v>0</v>
      </c>
      <c r="C20" s="13">
        <f>Financials!D12</f>
        <v>5.3094366714940753</v>
      </c>
      <c r="D20" s="13">
        <f>Financials!F12</f>
        <v>19.085473535742167</v>
      </c>
      <c r="E20" s="13">
        <f>Financials!H12</f>
        <v>22.287892960223402</v>
      </c>
      <c r="F20" s="13">
        <f>Financials!K12</f>
        <v>29.090537788454526</v>
      </c>
      <c r="G20" s="13">
        <f>Financials!P12</f>
        <v>34.655090020293898</v>
      </c>
    </row>
    <row r="21" spans="1:7" ht="15" customHeight="1" x14ac:dyDescent="0.3">
      <c r="A21" s="5" t="s">
        <v>277</v>
      </c>
      <c r="B21" s="13">
        <f>Financing!B13</f>
        <v>29.640000000000015</v>
      </c>
      <c r="C21" s="13">
        <f>Financing!D13</f>
        <v>27.108991882352999</v>
      </c>
      <c r="D21" s="13">
        <f>Financing!F13</f>
        <v>0</v>
      </c>
      <c r="E21" s="13">
        <f>Financing!H13</f>
        <v>0</v>
      </c>
      <c r="F21" s="13">
        <f>Financing!K13</f>
        <v>0</v>
      </c>
      <c r="G21" s="13">
        <f>Financing!P13</f>
        <v>0</v>
      </c>
    </row>
    <row r="22" spans="1:7" ht="15" customHeight="1" x14ac:dyDescent="0.3">
      <c r="A22" s="5" t="s">
        <v>278</v>
      </c>
      <c r="B22" s="13">
        <f>Financials!B31</f>
        <v>0</v>
      </c>
      <c r="C22" s="13">
        <f>Financials!D31</f>
        <v>-8.0678471330661523</v>
      </c>
      <c r="D22" s="13">
        <f>Financials!F31</f>
        <v>-19.792920552574945</v>
      </c>
      <c r="E22" s="13">
        <f>Financials!H31</f>
        <v>1.5182792546802588</v>
      </c>
      <c r="F22" s="13">
        <f>Financials!K31</f>
        <v>17.728879838402186</v>
      </c>
      <c r="G22" s="13">
        <f>Financials!P31</f>
        <v>47.86803183948134</v>
      </c>
    </row>
    <row r="23" spans="1:7" ht="15" customHeight="1" x14ac:dyDescent="0.3">
      <c r="A23" s="5" t="s">
        <v>158</v>
      </c>
      <c r="B23" s="22">
        <f>Financing!B17</f>
        <v>0</v>
      </c>
      <c r="C23" s="22">
        <f>Financing!D17</f>
        <v>1.2</v>
      </c>
      <c r="D23" s="22">
        <f>Financing!F17</f>
        <v>1.7750062868291965</v>
      </c>
      <c r="E23" s="22">
        <f>Financing!H17</f>
        <v>0</v>
      </c>
      <c r="F23" s="22">
        <f>Financing!K17</f>
        <v>0</v>
      </c>
      <c r="G23" s="22">
        <f>Financing!P17</f>
        <v>0</v>
      </c>
    </row>
    <row r="26" spans="1:7" ht="15" customHeight="1" x14ac:dyDescent="0.3">
      <c r="A26" s="7" t="s">
        <v>279</v>
      </c>
      <c r="B26" s="1"/>
      <c r="C26" s="1"/>
      <c r="D26" s="1"/>
      <c r="E26" s="1"/>
      <c r="F26" s="1"/>
    </row>
    <row r="27" spans="1:7" ht="15" customHeight="1" x14ac:dyDescent="0.3">
      <c r="A27" s="23" t="s">
        <v>280</v>
      </c>
    </row>
    <row r="29" spans="1:7" ht="15" customHeight="1" x14ac:dyDescent="0.3">
      <c r="A29" s="7" t="s">
        <v>281</v>
      </c>
      <c r="B29" s="1"/>
      <c r="C29" s="1"/>
      <c r="D29" s="1"/>
      <c r="E29" s="1"/>
      <c r="F29" s="1"/>
    </row>
    <row r="30" spans="1:7" ht="15" customHeight="1" x14ac:dyDescent="0.3">
      <c r="A30" s="5" t="s">
        <v>282</v>
      </c>
      <c r="B30" s="6" t="str">
        <f>IF(SUMPRODUCT(ABS(Financials!B47:R47))&lt;1,"PASS","FAIL")</f>
        <v>PASS</v>
      </c>
    </row>
    <row r="31" spans="1:7" ht="15" customHeight="1" x14ac:dyDescent="0.3">
      <c r="A31" s="5" t="s">
        <v>283</v>
      </c>
      <c r="B31" s="6" t="str">
        <f>IF(ABS(SUM(Financing!B5:R5)+SUM(Financing!B6:R6)-SUM(Capex_Depr!B6:R6))&lt;1,"PASS","FAIL")</f>
        <v>PASS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F4E79"/>
  </sheetPr>
  <dimension ref="A1:R8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8.6640625" defaultRowHeight="14.4" x14ac:dyDescent="0.3"/>
  <cols>
    <col min="1" max="1" width="30" customWidth="1"/>
    <col min="2" max="18" width="14" customWidth="1"/>
  </cols>
  <sheetData>
    <row r="1" spans="1:18" ht="17.25" customHeight="1" x14ac:dyDescent="0.3">
      <c r="A1" s="3" t="s">
        <v>0</v>
      </c>
    </row>
    <row r="2" spans="1:18" ht="1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3">
      <c r="A3" s="5" t="s">
        <v>72</v>
      </c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</row>
    <row r="4" spans="1:18" ht="15" customHeight="1" x14ac:dyDescent="0.3">
      <c r="A4" s="5" t="s">
        <v>73</v>
      </c>
      <c r="B4" s="12" t="s">
        <v>74</v>
      </c>
      <c r="C4" s="12" t="s">
        <v>75</v>
      </c>
      <c r="D4" s="12" t="s">
        <v>76</v>
      </c>
      <c r="E4" s="12" t="s">
        <v>77</v>
      </c>
      <c r="F4" s="12" t="s">
        <v>78</v>
      </c>
      <c r="G4" s="12" t="s">
        <v>79</v>
      </c>
      <c r="H4" s="12" t="s">
        <v>80</v>
      </c>
      <c r="I4" s="12" t="s">
        <v>81</v>
      </c>
      <c r="J4" s="12" t="s">
        <v>82</v>
      </c>
      <c r="K4" s="12" t="s">
        <v>83</v>
      </c>
      <c r="L4" s="12" t="s">
        <v>84</v>
      </c>
      <c r="M4" s="12" t="s">
        <v>85</v>
      </c>
      <c r="N4" s="12" t="s">
        <v>86</v>
      </c>
      <c r="O4" s="12" t="s">
        <v>87</v>
      </c>
      <c r="P4" s="12" t="s">
        <v>88</v>
      </c>
      <c r="Q4" s="12" t="s">
        <v>89</v>
      </c>
      <c r="R4" s="12" t="s">
        <v>90</v>
      </c>
    </row>
    <row r="5" spans="1:18" ht="15" customHeight="1" x14ac:dyDescent="0.3">
      <c r="A5" s="5" t="s">
        <v>91</v>
      </c>
      <c r="B5" s="12" t="s">
        <v>92</v>
      </c>
      <c r="C5" s="12" t="s">
        <v>92</v>
      </c>
      <c r="D5" s="12" t="s">
        <v>93</v>
      </c>
      <c r="E5" s="12" t="s">
        <v>93</v>
      </c>
      <c r="F5" s="12" t="s">
        <v>93</v>
      </c>
      <c r="G5" s="12" t="s">
        <v>93</v>
      </c>
      <c r="H5" s="12" t="s">
        <v>93</v>
      </c>
      <c r="I5" s="12" t="s">
        <v>93</v>
      </c>
      <c r="J5" s="12" t="s">
        <v>93</v>
      </c>
      <c r="K5" s="12" t="s">
        <v>93</v>
      </c>
      <c r="L5" s="12" t="s">
        <v>93</v>
      </c>
      <c r="M5" s="12" t="s">
        <v>93</v>
      </c>
      <c r="N5" s="12" t="s">
        <v>93</v>
      </c>
      <c r="O5" s="12" t="s">
        <v>93</v>
      </c>
      <c r="P5" s="12" t="s">
        <v>93</v>
      </c>
      <c r="Q5" s="12" t="s">
        <v>93</v>
      </c>
      <c r="R5" s="12" t="s">
        <v>93</v>
      </c>
    </row>
    <row r="6" spans="1:18" ht="15" customHeight="1" x14ac:dyDescent="0.3">
      <c r="A6" s="5" t="s">
        <v>94</v>
      </c>
      <c r="D6" s="11">
        <v>1</v>
      </c>
      <c r="E6" s="11">
        <v>2</v>
      </c>
      <c r="F6" s="11">
        <v>3</v>
      </c>
      <c r="G6" s="11">
        <v>4</v>
      </c>
      <c r="H6" s="11">
        <v>5</v>
      </c>
      <c r="I6" s="11">
        <v>6</v>
      </c>
      <c r="J6" s="11">
        <v>7</v>
      </c>
      <c r="K6" s="11">
        <v>8</v>
      </c>
      <c r="L6" s="11">
        <v>9</v>
      </c>
      <c r="M6" s="11">
        <v>10</v>
      </c>
      <c r="N6" s="11">
        <v>11</v>
      </c>
      <c r="O6" s="11">
        <v>12</v>
      </c>
      <c r="P6" s="11">
        <v>13</v>
      </c>
      <c r="Q6" s="11">
        <v>14</v>
      </c>
      <c r="R6" s="11">
        <v>15</v>
      </c>
    </row>
    <row r="7" spans="1:18" ht="15" customHeight="1" x14ac:dyDescent="0.3">
      <c r="A7" s="5" t="s">
        <v>95</v>
      </c>
      <c r="B7" s="11">
        <v>1</v>
      </c>
      <c r="C7" s="11">
        <v>1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</row>
    <row r="8" spans="1:18" ht="15" customHeight="1" x14ac:dyDescent="0.3">
      <c r="A8" s="5" t="s">
        <v>96</v>
      </c>
      <c r="B8" s="11">
        <v>0</v>
      </c>
      <c r="C8" s="11">
        <v>0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  <c r="J8" s="11">
        <v>1</v>
      </c>
      <c r="K8" s="11">
        <v>1</v>
      </c>
      <c r="L8" s="11">
        <v>1</v>
      </c>
      <c r="M8" s="11">
        <v>1</v>
      </c>
      <c r="N8" s="11">
        <v>1</v>
      </c>
      <c r="O8" s="11">
        <v>1</v>
      </c>
      <c r="P8" s="11">
        <v>1</v>
      </c>
      <c r="Q8" s="11">
        <v>1</v>
      </c>
      <c r="R8" s="11">
        <v>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F4E79"/>
  </sheetPr>
  <dimension ref="A1:R28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3" sqref="B23:R23"/>
    </sheetView>
  </sheetViews>
  <sheetFormatPr defaultColWidth="8.6640625" defaultRowHeight="14.4" x14ac:dyDescent="0.3"/>
  <cols>
    <col min="1" max="1" width="35" customWidth="1"/>
    <col min="2" max="18" width="16" customWidth="1"/>
  </cols>
  <sheetData>
    <row r="1" spans="1:18" ht="17.25" customHeight="1" x14ac:dyDescent="0.3">
      <c r="A1" s="3" t="s">
        <v>300</v>
      </c>
    </row>
    <row r="2" spans="1:18" ht="15" customHeight="1" x14ac:dyDescent="0.3">
      <c r="A2" s="4"/>
      <c r="B2" s="4" t="s">
        <v>74</v>
      </c>
      <c r="C2" s="4" t="s">
        <v>75</v>
      </c>
      <c r="D2" s="4" t="s">
        <v>76</v>
      </c>
      <c r="E2" s="4" t="s">
        <v>77</v>
      </c>
      <c r="F2" s="4" t="s">
        <v>78</v>
      </c>
      <c r="G2" s="4" t="s">
        <v>79</v>
      </c>
      <c r="H2" s="4" t="s">
        <v>80</v>
      </c>
      <c r="I2" s="4" t="s">
        <v>81</v>
      </c>
      <c r="J2" s="4" t="s">
        <v>82</v>
      </c>
      <c r="K2" s="4" t="s">
        <v>83</v>
      </c>
      <c r="L2" s="4" t="s">
        <v>84</v>
      </c>
      <c r="M2" s="4" t="s">
        <v>85</v>
      </c>
      <c r="N2" s="4" t="s">
        <v>86</v>
      </c>
      <c r="O2" s="4" t="s">
        <v>87</v>
      </c>
      <c r="P2" s="4" t="s">
        <v>88</v>
      </c>
      <c r="Q2" s="4" t="s">
        <v>89</v>
      </c>
      <c r="R2" s="4" t="s">
        <v>90</v>
      </c>
    </row>
    <row r="3" spans="1:18" ht="15" customHeight="1" x14ac:dyDescent="0.3">
      <c r="A3" s="5" t="s">
        <v>97</v>
      </c>
      <c r="B3" s="13">
        <f>Timeline!B8</f>
        <v>0</v>
      </c>
      <c r="C3" s="13">
        <f>Timeline!C8</f>
        <v>0</v>
      </c>
      <c r="D3" s="13">
        <f>Timeline!D8</f>
        <v>1</v>
      </c>
      <c r="E3" s="13">
        <f>Timeline!E8</f>
        <v>1</v>
      </c>
      <c r="F3" s="13">
        <f>Timeline!F8</f>
        <v>1</v>
      </c>
      <c r="G3" s="13">
        <f>Timeline!G8</f>
        <v>1</v>
      </c>
      <c r="H3" s="13">
        <f>Timeline!H8</f>
        <v>1</v>
      </c>
      <c r="I3" s="13">
        <f>Timeline!I8</f>
        <v>1</v>
      </c>
      <c r="J3" s="13">
        <f>Timeline!J8</f>
        <v>1</v>
      </c>
      <c r="K3" s="13">
        <f>Timeline!K8</f>
        <v>1</v>
      </c>
      <c r="L3" s="13">
        <f>Timeline!L8</f>
        <v>1</v>
      </c>
      <c r="M3" s="13">
        <f>Timeline!M8</f>
        <v>1</v>
      </c>
      <c r="N3" s="13">
        <f>Timeline!N8</f>
        <v>1</v>
      </c>
      <c r="O3" s="13">
        <f>Timeline!O8</f>
        <v>1</v>
      </c>
      <c r="P3" s="13">
        <f>Timeline!P8</f>
        <v>1</v>
      </c>
      <c r="Q3" s="13">
        <f>Timeline!Q8</f>
        <v>1</v>
      </c>
      <c r="R3" s="13">
        <f>Timeline!R8</f>
        <v>1</v>
      </c>
    </row>
    <row r="4" spans="1:18" ht="15" customHeight="1" x14ac:dyDescent="0.3">
      <c r="A4" s="5" t="s">
        <v>94</v>
      </c>
      <c r="B4" s="13">
        <f>Timeline!B6</f>
        <v>0</v>
      </c>
      <c r="C4" s="13">
        <f>Timeline!C6</f>
        <v>0</v>
      </c>
      <c r="D4" s="13">
        <f>Timeline!D6</f>
        <v>1</v>
      </c>
      <c r="E4" s="13">
        <f>Timeline!E6</f>
        <v>2</v>
      </c>
      <c r="F4" s="13">
        <f>Timeline!F6</f>
        <v>3</v>
      </c>
      <c r="G4" s="13">
        <f>Timeline!G6</f>
        <v>4</v>
      </c>
      <c r="H4" s="13">
        <f>Timeline!H6</f>
        <v>5</v>
      </c>
      <c r="I4" s="13">
        <f>Timeline!I6</f>
        <v>6</v>
      </c>
      <c r="J4" s="13">
        <f>Timeline!J6</f>
        <v>7</v>
      </c>
      <c r="K4" s="13">
        <f>Timeline!K6</f>
        <v>8</v>
      </c>
      <c r="L4" s="13">
        <f>Timeline!L6</f>
        <v>9</v>
      </c>
      <c r="M4" s="13">
        <f>Timeline!M6</f>
        <v>10</v>
      </c>
      <c r="N4" s="13">
        <f>Timeline!N6</f>
        <v>11</v>
      </c>
      <c r="O4" s="13">
        <f>Timeline!O6</f>
        <v>12</v>
      </c>
      <c r="P4" s="13">
        <f>Timeline!P6</f>
        <v>13</v>
      </c>
      <c r="Q4" s="13">
        <f>Timeline!Q6</f>
        <v>14</v>
      </c>
      <c r="R4" s="13">
        <f>Timeline!R6</f>
        <v>15</v>
      </c>
    </row>
    <row r="6" spans="1:18" ht="15" customHeight="1" x14ac:dyDescent="0.3">
      <c r="A6" s="7" t="s">
        <v>98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5" customHeight="1" x14ac:dyDescent="0.3">
      <c r="A7" s="5" t="s">
        <v>99</v>
      </c>
      <c r="B7" s="13">
        <f>IF(B3=1,Assumptions!$B$12,0)</f>
        <v>0</v>
      </c>
      <c r="C7" s="13">
        <f>IF(C3=1,Assumptions!$B$12,0)</f>
        <v>0</v>
      </c>
      <c r="D7" s="13">
        <f>IF(D3=1,Assumptions!$B$12,0)</f>
        <v>24999</v>
      </c>
      <c r="E7" s="13">
        <f>IF(E3=1,Assumptions!$B$12,0)</f>
        <v>24999</v>
      </c>
      <c r="F7" s="13">
        <f>IF(F3=1,Assumptions!$B$12,0)</f>
        <v>24999</v>
      </c>
      <c r="G7" s="13">
        <f>IF(G3=1,Assumptions!$B$12,0)</f>
        <v>24999</v>
      </c>
      <c r="H7" s="13">
        <f>IF(H3=1,Assumptions!$B$12,0)</f>
        <v>24999</v>
      </c>
      <c r="I7" s="13">
        <f>IF(I3=1,Assumptions!$B$12,0)</f>
        <v>24999</v>
      </c>
      <c r="J7" s="13">
        <f>IF(J3=1,Assumptions!$B$12,0)</f>
        <v>24999</v>
      </c>
      <c r="K7" s="13">
        <f>IF(K3=1,Assumptions!$B$12,0)</f>
        <v>24999</v>
      </c>
      <c r="L7" s="13">
        <f>IF(L3=1,Assumptions!$B$12,0)</f>
        <v>24999</v>
      </c>
      <c r="M7" s="13">
        <f>IF(M3=1,Assumptions!$B$12,0)</f>
        <v>24999</v>
      </c>
      <c r="N7" s="13">
        <f>IF(N3=1,Assumptions!$B$12,0)</f>
        <v>24999</v>
      </c>
      <c r="O7" s="13">
        <f>IF(O3=1,Assumptions!$B$12,0)</f>
        <v>24999</v>
      </c>
      <c r="P7" s="13">
        <f>IF(P3=1,Assumptions!$B$12,0)</f>
        <v>24999</v>
      </c>
      <c r="Q7" s="13">
        <f>IF(Q3=1,Assumptions!$B$12,0)</f>
        <v>24999</v>
      </c>
      <c r="R7" s="13">
        <f>IF(R3=1,Assumptions!$B$12,0)</f>
        <v>24999</v>
      </c>
    </row>
    <row r="8" spans="1:18" ht="15" customHeight="1" x14ac:dyDescent="0.3">
      <c r="A8" s="5" t="s">
        <v>100</v>
      </c>
      <c r="B8" s="14">
        <f>IF(B3=1,Assumptions!$B$13,0)</f>
        <v>0</v>
      </c>
      <c r="C8" s="14">
        <f>IF(C3=1,Assumptions!$B$13,0)</f>
        <v>0</v>
      </c>
      <c r="D8" s="14">
        <f>IF(D3=1,Assumptions!$B$13,0)</f>
        <v>0.26700000000000002</v>
      </c>
      <c r="E8" s="14">
        <f>IF(E3=1,Assumptions!$B$13,0)</f>
        <v>0.26700000000000002</v>
      </c>
      <c r="F8" s="14">
        <f>IF(F3=1,Assumptions!$B$13,0)</f>
        <v>0.26700000000000002</v>
      </c>
      <c r="G8" s="14">
        <f>IF(G3=1,Assumptions!$B$13,0)</f>
        <v>0.26700000000000002</v>
      </c>
      <c r="H8" s="14">
        <f>IF(H3=1,Assumptions!$B$13,0)</f>
        <v>0.26700000000000002</v>
      </c>
      <c r="I8" s="14">
        <f>IF(I3=1,Assumptions!$B$13,0)</f>
        <v>0.26700000000000002</v>
      </c>
      <c r="J8" s="14">
        <f>IF(J3=1,Assumptions!$B$13,0)</f>
        <v>0.26700000000000002</v>
      </c>
      <c r="K8" s="14">
        <f>IF(K3=1,Assumptions!$B$13,0)</f>
        <v>0.26700000000000002</v>
      </c>
      <c r="L8" s="14">
        <f>IF(L3=1,Assumptions!$B$13,0)</f>
        <v>0.26700000000000002</v>
      </c>
      <c r="M8" s="14">
        <f>IF(M3=1,Assumptions!$B$13,0)</f>
        <v>0.26700000000000002</v>
      </c>
      <c r="N8" s="14">
        <f>IF(N3=1,Assumptions!$B$13,0)</f>
        <v>0.26700000000000002</v>
      </c>
      <c r="O8" s="14">
        <f>IF(O3=1,Assumptions!$B$13,0)</f>
        <v>0.26700000000000002</v>
      </c>
      <c r="P8" s="14">
        <f>IF(P3=1,Assumptions!$B$13,0)</f>
        <v>0.26700000000000002</v>
      </c>
      <c r="Q8" s="14">
        <f>IF(Q3=1,Assumptions!$B$13,0)</f>
        <v>0.26700000000000002</v>
      </c>
      <c r="R8" s="14">
        <f>IF(R3=1,Assumptions!$B$13,0)</f>
        <v>0.26700000000000002</v>
      </c>
    </row>
    <row r="9" spans="1:18" ht="15" customHeight="1" x14ac:dyDescent="0.3">
      <c r="A9" s="5" t="s">
        <v>101</v>
      </c>
      <c r="B9" s="14">
        <f>IF(B3=1,INT((B4-1)/2)*Assumptions!$B$14,0)</f>
        <v>0</v>
      </c>
      <c r="C9" s="14">
        <f>IF(C3=1,INT((C4-1)/2)*Assumptions!$B$14,0)</f>
        <v>0</v>
      </c>
      <c r="D9" s="14">
        <f>IF(D3=1,INT((D4-1)/2)*Assumptions!$B$14,0)</f>
        <v>0</v>
      </c>
      <c r="E9" s="14">
        <f>IF(E3=1,INT((E4-1)/2)*Assumptions!$B$14,0)</f>
        <v>0</v>
      </c>
      <c r="F9" s="14">
        <f>IF(F3=1,INT((F4-1)/2)*Assumptions!$B$14,0)</f>
        <v>0.05</v>
      </c>
      <c r="G9" s="14">
        <f>IF(G3=1,INT((G4-1)/2)*Assumptions!$B$14,0)</f>
        <v>0.05</v>
      </c>
      <c r="H9" s="14">
        <f>IF(H3=1,INT((H4-1)/2)*Assumptions!$B$14,0)</f>
        <v>0.1</v>
      </c>
      <c r="I9" s="14">
        <f>IF(I3=1,INT((I4-1)/2)*Assumptions!$B$14,0)</f>
        <v>0.1</v>
      </c>
      <c r="J9" s="14">
        <f>IF(J3=1,INT((J4-1)/2)*Assumptions!$B$14,0)</f>
        <v>0.15000000000000002</v>
      </c>
      <c r="K9" s="14">
        <f>IF(K3=1,INT((K4-1)/2)*Assumptions!$B$14,0)</f>
        <v>0.15000000000000002</v>
      </c>
      <c r="L9" s="14">
        <f>IF(L3=1,INT((L4-1)/2)*Assumptions!$B$14,0)</f>
        <v>0.2</v>
      </c>
      <c r="M9" s="14">
        <f>IF(M3=1,INT((M4-1)/2)*Assumptions!$B$14,0)</f>
        <v>0.2</v>
      </c>
      <c r="N9" s="14">
        <f>IF(N3=1,INT((N4-1)/2)*Assumptions!$B$14,0)</f>
        <v>0.25</v>
      </c>
      <c r="O9" s="14">
        <f>IF(O3=1,INT((O4-1)/2)*Assumptions!$B$14,0)</f>
        <v>0.25</v>
      </c>
      <c r="P9" s="14">
        <f>IF(P3=1,INT((P4-1)/2)*Assumptions!$B$14,0)</f>
        <v>0.30000000000000004</v>
      </c>
      <c r="Q9" s="14">
        <f>IF(Q3=1,INT((Q4-1)/2)*Assumptions!$B$14,0)</f>
        <v>0.30000000000000004</v>
      </c>
      <c r="R9" s="14">
        <f>IF(R3=1,INT((R4-1)/2)*Assumptions!$B$14,0)</f>
        <v>0.35000000000000003</v>
      </c>
    </row>
    <row r="10" spans="1:18" ht="15" customHeight="1" x14ac:dyDescent="0.3">
      <c r="A10" s="5" t="s">
        <v>102</v>
      </c>
      <c r="B10" s="11">
        <f>IF(B3=1,(1-Assumptions!$B$15)^(B4-1),0)</f>
        <v>0</v>
      </c>
      <c r="C10" s="11">
        <f>IF(C3=1,(1-Assumptions!$B$15)^(C4-1),0)</f>
        <v>0</v>
      </c>
      <c r="D10" s="11">
        <f>IF(D3=1,(1-Assumptions!$B$15)^(D4-1),0)</f>
        <v>1</v>
      </c>
      <c r="E10" s="11">
        <f>IF(E3=1,(1-Assumptions!$B$15)^(E4-1),0)</f>
        <v>0.98</v>
      </c>
      <c r="F10" s="11">
        <f>IF(F3=1,(1-Assumptions!$B$15)^(F4-1),0)</f>
        <v>0.96039999999999992</v>
      </c>
      <c r="G10" s="11">
        <f>IF(G3=1,(1-Assumptions!$B$15)^(G4-1),0)</f>
        <v>0.94119199999999992</v>
      </c>
      <c r="H10" s="11">
        <f>IF(H3=1,(1-Assumptions!$B$15)^(H4-1),0)</f>
        <v>0.92236815999999988</v>
      </c>
      <c r="I10" s="11">
        <f>IF(I3=1,(1-Assumptions!$B$15)^(I4-1),0)</f>
        <v>0.90392079679999982</v>
      </c>
      <c r="J10" s="11">
        <f>IF(J3=1,(1-Assumptions!$B$15)^(J4-1),0)</f>
        <v>0.8858423808639998</v>
      </c>
      <c r="K10" s="11">
        <f>IF(K3=1,(1-Assumptions!$B$15)^(K4-1),0)</f>
        <v>0.86812553324671982</v>
      </c>
      <c r="L10" s="11">
        <f>IF(L3=1,(1-Assumptions!$B$15)^(L4-1),0)</f>
        <v>0.85076302258178538</v>
      </c>
      <c r="M10" s="11">
        <f>IF(M3=1,(1-Assumptions!$B$15)^(M4-1),0)</f>
        <v>0.83374776213014967</v>
      </c>
      <c r="N10" s="11">
        <f>IF(N3=1,(1-Assumptions!$B$15)^(N4-1),0)</f>
        <v>0.81707280688754658</v>
      </c>
      <c r="O10" s="11">
        <f>IF(O3=1,(1-Assumptions!$B$15)^(O4-1),0)</f>
        <v>0.80073135074979562</v>
      </c>
      <c r="P10" s="11">
        <f>IF(P3=1,(1-Assumptions!$B$15)^(P4-1),0)</f>
        <v>0.78471672373479973</v>
      </c>
      <c r="Q10" s="11">
        <f>IF(Q3=1,(1-Assumptions!$B$15)^(Q4-1),0)</f>
        <v>0.76902238926010369</v>
      </c>
      <c r="R10" s="11">
        <f>IF(R3=1,(1-Assumptions!$B$15)^(R4-1),0)</f>
        <v>0.7536419414749016</v>
      </c>
    </row>
    <row r="11" spans="1:18" ht="15" customHeight="1" x14ac:dyDescent="0.3">
      <c r="A11" s="5" t="s">
        <v>103</v>
      </c>
      <c r="B11" s="14">
        <f t="shared" ref="B11:R11" si="0">IF(B3=1,(B8+B9)*B10,0)</f>
        <v>0</v>
      </c>
      <c r="C11" s="14">
        <f t="shared" si="0"/>
        <v>0</v>
      </c>
      <c r="D11" s="14">
        <f t="shared" si="0"/>
        <v>0.26700000000000002</v>
      </c>
      <c r="E11" s="14">
        <f t="shared" si="0"/>
        <v>0.26166</v>
      </c>
      <c r="F11" s="14">
        <f t="shared" si="0"/>
        <v>0.30444679999999996</v>
      </c>
      <c r="G11" s="14">
        <f t="shared" si="0"/>
        <v>0.29835786399999997</v>
      </c>
      <c r="H11" s="14">
        <f t="shared" si="0"/>
        <v>0.33850911471999995</v>
      </c>
      <c r="I11" s="14">
        <f t="shared" si="0"/>
        <v>0.33173893242559993</v>
      </c>
      <c r="J11" s="14">
        <f t="shared" si="0"/>
        <v>0.36939627282028797</v>
      </c>
      <c r="K11" s="14">
        <f t="shared" si="0"/>
        <v>0.36200834736388221</v>
      </c>
      <c r="L11" s="14">
        <f t="shared" si="0"/>
        <v>0.39730633154569378</v>
      </c>
      <c r="M11" s="14">
        <f t="shared" si="0"/>
        <v>0.38936020491477991</v>
      </c>
      <c r="N11" s="14">
        <f t="shared" si="0"/>
        <v>0.42242664116086159</v>
      </c>
      <c r="O11" s="14">
        <f t="shared" si="0"/>
        <v>0.41397810833764437</v>
      </c>
      <c r="P11" s="14">
        <f t="shared" si="0"/>
        <v>0.4449343823576315</v>
      </c>
      <c r="Q11" s="14">
        <f t="shared" si="0"/>
        <v>0.43603569471047882</v>
      </c>
      <c r="R11" s="14">
        <f t="shared" si="0"/>
        <v>0.46499707789001427</v>
      </c>
    </row>
    <row r="12" spans="1:18" ht="15" customHeight="1" x14ac:dyDescent="0.3">
      <c r="A12" s="5" t="s">
        <v>19</v>
      </c>
      <c r="B12" s="11">
        <f>IF(B3=1,Assumptions!$B$16,0)</f>
        <v>0</v>
      </c>
      <c r="C12" s="11">
        <f>IF(C3=1,Assumptions!$B$16,0)</f>
        <v>0</v>
      </c>
      <c r="D12" s="11">
        <f>IF(D3=1,Assumptions!$B$16,0)</f>
        <v>8760</v>
      </c>
      <c r="E12" s="11">
        <f>IF(E3=1,Assumptions!$B$16,0)</f>
        <v>8760</v>
      </c>
      <c r="F12" s="11">
        <f>IF(F3=1,Assumptions!$B$16,0)</f>
        <v>8760</v>
      </c>
      <c r="G12" s="11">
        <f>IF(G3=1,Assumptions!$B$16,0)</f>
        <v>8760</v>
      </c>
      <c r="H12" s="11">
        <f>IF(H3=1,Assumptions!$B$16,0)</f>
        <v>8760</v>
      </c>
      <c r="I12" s="11">
        <f>IF(I3=1,Assumptions!$B$16,0)</f>
        <v>8760</v>
      </c>
      <c r="J12" s="11">
        <f>IF(J3=1,Assumptions!$B$16,0)</f>
        <v>8760</v>
      </c>
      <c r="K12" s="11">
        <f>IF(K3=1,Assumptions!$B$16,0)</f>
        <v>8760</v>
      </c>
      <c r="L12" s="11">
        <f>IF(L3=1,Assumptions!$B$16,0)</f>
        <v>8760</v>
      </c>
      <c r="M12" s="11">
        <f>IF(M3=1,Assumptions!$B$16,0)</f>
        <v>8760</v>
      </c>
      <c r="N12" s="11">
        <f>IF(N3=1,Assumptions!$B$16,0)</f>
        <v>8760</v>
      </c>
      <c r="O12" s="11">
        <f>IF(O3=1,Assumptions!$B$16,0)</f>
        <v>8760</v>
      </c>
      <c r="P12" s="11">
        <f>IF(P3=1,Assumptions!$B$16,0)</f>
        <v>8760</v>
      </c>
      <c r="Q12" s="11">
        <f>IF(Q3=1,Assumptions!$B$16,0)</f>
        <v>8760</v>
      </c>
      <c r="R12" s="11">
        <f>IF(R3=1,Assumptions!$B$16,0)</f>
        <v>8760</v>
      </c>
    </row>
    <row r="13" spans="1:18" ht="15" customHeight="1" x14ac:dyDescent="0.3">
      <c r="A13" s="5" t="s">
        <v>104</v>
      </c>
      <c r="B13" s="11">
        <f t="shared" ref="B13:R13" si="1">IF(B3=1,B7*B11*B12,0)</f>
        <v>0</v>
      </c>
      <c r="C13" s="11">
        <f t="shared" si="1"/>
        <v>0</v>
      </c>
      <c r="D13" s="11">
        <f t="shared" si="1"/>
        <v>58470661.079999998</v>
      </c>
      <c r="E13" s="11">
        <f t="shared" si="1"/>
        <v>57301247.858400002</v>
      </c>
      <c r="F13" s="11">
        <f t="shared" si="1"/>
        <v>66671182.246031992</v>
      </c>
      <c r="G13" s="11">
        <f t="shared" si="1"/>
        <v>65337758.60111136</v>
      </c>
      <c r="H13" s="11">
        <f t="shared" si="1"/>
        <v>74130530.783835039</v>
      </c>
      <c r="I13" s="11">
        <f t="shared" si="1"/>
        <v>72647920.168158337</v>
      </c>
      <c r="J13" s="11">
        <f t="shared" si="1"/>
        <v>80894547.836293161</v>
      </c>
      <c r="K13" s="11">
        <f t="shared" si="1"/>
        <v>79276656.879567295</v>
      </c>
      <c r="L13" s="11">
        <f t="shared" si="1"/>
        <v>87006606.205042601</v>
      </c>
      <c r="M13" s="11">
        <f t="shared" si="1"/>
        <v>85266474.080941752</v>
      </c>
      <c r="N13" s="11">
        <f t="shared" si="1"/>
        <v>92507733.956852108</v>
      </c>
      <c r="O13" s="11">
        <f t="shared" si="1"/>
        <v>90657579.277715072</v>
      </c>
      <c r="P13" s="11">
        <f t="shared" si="1"/>
        <v>97436732.111131847</v>
      </c>
      <c r="Q13" s="11">
        <f t="shared" si="1"/>
        <v>95487997.468909204</v>
      </c>
      <c r="R13" s="11">
        <f t="shared" si="1"/>
        <v>101830286.68351081</v>
      </c>
    </row>
    <row r="15" spans="1:18" ht="15" customHeight="1" x14ac:dyDescent="0.3">
      <c r="A15" s="7" t="s">
        <v>105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5" customHeight="1" x14ac:dyDescent="0.3">
      <c r="A16" s="5" t="s">
        <v>24</v>
      </c>
      <c r="B16" s="11">
        <f>IF(B3=1,Assumptions!$B$21*(1+Assumptions!$B$22)^(INT((B4-1)/2)),0)</f>
        <v>0</v>
      </c>
      <c r="C16" s="11">
        <f>IF(C3=1,Assumptions!$B$21*(1+Assumptions!$B$22)^(INT((C4-1)/2)),0)</f>
        <v>0</v>
      </c>
      <c r="D16" s="11">
        <f>IF(D3=1,Assumptions!$B$21*(1+Assumptions!$B$22)^(INT((D4-1)/2)),0)</f>
        <v>35</v>
      </c>
      <c r="E16" s="11">
        <f>IF(E3=1,Assumptions!$B$21*(1+Assumptions!$B$22)^(INT((E4-1)/2)),0)</f>
        <v>35</v>
      </c>
      <c r="F16" s="11">
        <f>IF(F3=1,Assumptions!$B$21*(1+Assumptions!$B$22)^(INT((F4-1)/2)),0)</f>
        <v>36.050000000000004</v>
      </c>
      <c r="G16" s="11">
        <f>IF(G3=1,Assumptions!$B$21*(1+Assumptions!$B$22)^(INT((G4-1)/2)),0)</f>
        <v>36.050000000000004</v>
      </c>
      <c r="H16" s="11">
        <f>IF(H3=1,Assumptions!$B$21*(1+Assumptions!$B$22)^(INT((H4-1)/2)),0)</f>
        <v>37.131499999999996</v>
      </c>
      <c r="I16" s="11">
        <f>IF(I3=1,Assumptions!$B$21*(1+Assumptions!$B$22)^(INT((I4-1)/2)),0)</f>
        <v>37.131499999999996</v>
      </c>
      <c r="J16" s="11">
        <f>IF(J3=1,Assumptions!$B$21*(1+Assumptions!$B$22)^(INT((J4-1)/2)),0)</f>
        <v>38.245445000000004</v>
      </c>
      <c r="K16" s="11">
        <f>IF(K3=1,Assumptions!$B$21*(1+Assumptions!$B$22)^(INT((K4-1)/2)),0)</f>
        <v>38.245445000000004</v>
      </c>
      <c r="L16" s="11">
        <f>IF(L3=1,Assumptions!$B$21*(1+Assumptions!$B$22)^(INT((L4-1)/2)),0)</f>
        <v>39.392808349999996</v>
      </c>
      <c r="M16" s="11">
        <f>IF(M3=1,Assumptions!$B$21*(1+Assumptions!$B$22)^(INT((M4-1)/2)),0)</f>
        <v>39.392808349999996</v>
      </c>
      <c r="N16" s="11">
        <f>IF(N3=1,Assumptions!$B$21*(1+Assumptions!$B$22)^(INT((N4-1)/2)),0)</f>
        <v>40.574592600499997</v>
      </c>
      <c r="O16" s="11">
        <f>IF(O3=1,Assumptions!$B$21*(1+Assumptions!$B$22)^(INT((O4-1)/2)),0)</f>
        <v>40.574592600499997</v>
      </c>
      <c r="P16" s="11">
        <f>IF(P3=1,Assumptions!$B$21*(1+Assumptions!$B$22)^(INT((P4-1)/2)),0)</f>
        <v>41.791830378514994</v>
      </c>
      <c r="Q16" s="11">
        <f>IF(Q3=1,Assumptions!$B$21*(1+Assumptions!$B$22)^(INT((Q4-1)/2)),0)</f>
        <v>41.791830378514994</v>
      </c>
      <c r="R16" s="11">
        <f>IF(R3=1,Assumptions!$B$21*(1+Assumptions!$B$22)^(INT((R4-1)/2)),0)</f>
        <v>43.045585289870452</v>
      </c>
    </row>
    <row r="17" spans="1:18" ht="15" customHeight="1" x14ac:dyDescent="0.3">
      <c r="A17" s="5" t="s">
        <v>106</v>
      </c>
      <c r="B17" s="11">
        <f>IF(B3=1,B16*1000*Assumptions!$B$16,0)</f>
        <v>0</v>
      </c>
      <c r="C17" s="11">
        <f>IF(C3=1,C16*1000*Assumptions!$B$16,0)</f>
        <v>0</v>
      </c>
      <c r="D17" s="11">
        <f>IF(D3=1,D16*1000*Assumptions!$B$16,0)</f>
        <v>306600000</v>
      </c>
      <c r="E17" s="11">
        <f>IF(E3=1,E16*1000*Assumptions!$B$16,0)</f>
        <v>306600000</v>
      </c>
      <c r="F17" s="11">
        <f>IF(F3=1,F16*1000*Assumptions!$B$16,0)</f>
        <v>315798000.00000006</v>
      </c>
      <c r="G17" s="11">
        <f>IF(G3=1,G16*1000*Assumptions!$B$16,0)</f>
        <v>315798000.00000006</v>
      </c>
      <c r="H17" s="11">
        <f>IF(H3=1,H16*1000*Assumptions!$B$16,0)</f>
        <v>325271939.99999994</v>
      </c>
      <c r="I17" s="11">
        <f>IF(I3=1,I16*1000*Assumptions!$B$16,0)</f>
        <v>325271939.99999994</v>
      </c>
      <c r="J17" s="11">
        <f>IF(J3=1,J16*1000*Assumptions!$B$16,0)</f>
        <v>335030098.20000005</v>
      </c>
      <c r="K17" s="11">
        <f>IF(K3=1,K16*1000*Assumptions!$B$16,0)</f>
        <v>335030098.20000005</v>
      </c>
      <c r="L17" s="11">
        <f>IF(L3=1,L16*1000*Assumptions!$B$16,0)</f>
        <v>345081001.14599991</v>
      </c>
      <c r="M17" s="11">
        <f>IF(M3=1,M16*1000*Assumptions!$B$16,0)</f>
        <v>345081001.14599991</v>
      </c>
      <c r="N17" s="11">
        <f>IF(N3=1,N16*1000*Assumptions!$B$16,0)</f>
        <v>355433431.18037999</v>
      </c>
      <c r="O17" s="11">
        <f>IF(O3=1,O16*1000*Assumptions!$B$16,0)</f>
        <v>355433431.18037999</v>
      </c>
      <c r="P17" s="11">
        <f>IF(P3=1,P16*1000*Assumptions!$B$16,0)</f>
        <v>366096434.11579132</v>
      </c>
      <c r="Q17" s="11">
        <f>IF(Q3=1,Q16*1000*Assumptions!$B$16,0)</f>
        <v>366096434.11579132</v>
      </c>
      <c r="R17" s="11">
        <f>IF(R3=1,R16*1000*Assumptions!$B$16,0)</f>
        <v>377079327.13926518</v>
      </c>
    </row>
    <row r="18" spans="1:18" ht="15" customHeight="1" x14ac:dyDescent="0.3">
      <c r="A18" s="5" t="s">
        <v>107</v>
      </c>
      <c r="B18" s="14">
        <f>IF(B3=0,0,IF(B4&lt;=2,Assumptions!$B$23,Assumptions!$B$24))</f>
        <v>0</v>
      </c>
      <c r="C18" s="14">
        <f>IF(C3=0,0,IF(C4&lt;=2,Assumptions!$B$23,Assumptions!$B$24))</f>
        <v>0</v>
      </c>
      <c r="D18" s="14">
        <f>IF(D3=0,0,IF(D4&lt;=2,Assumptions!$B$23,Assumptions!$B$24))</f>
        <v>0.15</v>
      </c>
      <c r="E18" s="14">
        <f>IF(E3=0,0,IF(E4&lt;=2,Assumptions!$B$23,Assumptions!$B$24))</f>
        <v>0.15</v>
      </c>
      <c r="F18" s="14">
        <f>IF(F3=0,0,IF(F4&lt;=2,Assumptions!$B$23,Assumptions!$B$24))</f>
        <v>0.2</v>
      </c>
      <c r="G18" s="14">
        <f>IF(G3=0,0,IF(G4&lt;=2,Assumptions!$B$23,Assumptions!$B$24))</f>
        <v>0.2</v>
      </c>
      <c r="H18" s="14">
        <f>IF(H3=0,0,IF(H4&lt;=2,Assumptions!$B$23,Assumptions!$B$24))</f>
        <v>0.2</v>
      </c>
      <c r="I18" s="14">
        <f>IF(I3=0,0,IF(I4&lt;=2,Assumptions!$B$23,Assumptions!$B$24))</f>
        <v>0.2</v>
      </c>
      <c r="J18" s="14">
        <f>IF(J3=0,0,IF(J4&lt;=2,Assumptions!$B$23,Assumptions!$B$24))</f>
        <v>0.2</v>
      </c>
      <c r="K18" s="14">
        <f>IF(K3=0,0,IF(K4&lt;=2,Assumptions!$B$23,Assumptions!$B$24))</f>
        <v>0.2</v>
      </c>
      <c r="L18" s="14">
        <f>IF(L3=0,0,IF(L4&lt;=2,Assumptions!$B$23,Assumptions!$B$24))</f>
        <v>0.2</v>
      </c>
      <c r="M18" s="14">
        <f>IF(M3=0,0,IF(M4&lt;=2,Assumptions!$B$23,Assumptions!$B$24))</f>
        <v>0.2</v>
      </c>
      <c r="N18" s="14">
        <f>IF(N3=0,0,IF(N4&lt;=2,Assumptions!$B$23,Assumptions!$B$24))</f>
        <v>0.2</v>
      </c>
      <c r="O18" s="14">
        <f>IF(O3=0,0,IF(O4&lt;=2,Assumptions!$B$23,Assumptions!$B$24))</f>
        <v>0.2</v>
      </c>
      <c r="P18" s="14">
        <f>IF(P3=0,0,IF(P4&lt;=2,Assumptions!$B$23,Assumptions!$B$24))</f>
        <v>0.2</v>
      </c>
      <c r="Q18" s="14">
        <f>IF(Q3=0,0,IF(Q4&lt;=2,Assumptions!$B$23,Assumptions!$B$24))</f>
        <v>0.2</v>
      </c>
      <c r="R18" s="14">
        <f>IF(R3=0,0,IF(R4&lt;=2,Assumptions!$B$23,Assumptions!$B$24))</f>
        <v>0.2</v>
      </c>
    </row>
    <row r="19" spans="1:18" ht="15" customHeight="1" x14ac:dyDescent="0.3">
      <c r="A19" s="5" t="s">
        <v>108</v>
      </c>
      <c r="B19" s="11">
        <f t="shared" ref="B19:R19" si="2">IF(B3=1,B17*B18,0)</f>
        <v>0</v>
      </c>
      <c r="C19" s="11">
        <f t="shared" si="2"/>
        <v>0</v>
      </c>
      <c r="D19" s="11">
        <f t="shared" si="2"/>
        <v>45990000</v>
      </c>
      <c r="E19" s="11">
        <f t="shared" si="2"/>
        <v>45990000</v>
      </c>
      <c r="F19" s="11">
        <f t="shared" si="2"/>
        <v>63159600.000000015</v>
      </c>
      <c r="G19" s="11">
        <f t="shared" si="2"/>
        <v>63159600.000000015</v>
      </c>
      <c r="H19" s="11">
        <f t="shared" si="2"/>
        <v>65054387.999999993</v>
      </c>
      <c r="I19" s="11">
        <f t="shared" si="2"/>
        <v>65054387.999999993</v>
      </c>
      <c r="J19" s="11">
        <f t="shared" si="2"/>
        <v>67006019.640000015</v>
      </c>
      <c r="K19" s="11">
        <f t="shared" si="2"/>
        <v>67006019.640000015</v>
      </c>
      <c r="L19" s="11">
        <f t="shared" si="2"/>
        <v>69016200.229199991</v>
      </c>
      <c r="M19" s="11">
        <f t="shared" si="2"/>
        <v>69016200.229199991</v>
      </c>
      <c r="N19" s="11">
        <f t="shared" si="2"/>
        <v>71086686.236075997</v>
      </c>
      <c r="O19" s="11">
        <f t="shared" si="2"/>
        <v>71086686.236075997</v>
      </c>
      <c r="P19" s="11">
        <f t="shared" si="2"/>
        <v>73219286.823158264</v>
      </c>
      <c r="Q19" s="11">
        <f t="shared" si="2"/>
        <v>73219286.823158264</v>
      </c>
      <c r="R19" s="11">
        <f t="shared" si="2"/>
        <v>75415865.427853033</v>
      </c>
    </row>
    <row r="20" spans="1:18" ht="15" customHeight="1" x14ac:dyDescent="0.3">
      <c r="A20" s="5" t="s">
        <v>109</v>
      </c>
      <c r="B20" s="11">
        <f t="shared" ref="B20:R20" si="3">IF(B3=1,MIN(B13,B19),0)</f>
        <v>0</v>
      </c>
      <c r="C20" s="11">
        <f t="shared" si="3"/>
        <v>0</v>
      </c>
      <c r="D20" s="11">
        <f t="shared" si="3"/>
        <v>45990000</v>
      </c>
      <c r="E20" s="11">
        <f t="shared" si="3"/>
        <v>45990000</v>
      </c>
      <c r="F20" s="11">
        <f t="shared" si="3"/>
        <v>63159600.000000015</v>
      </c>
      <c r="G20" s="11">
        <f t="shared" si="3"/>
        <v>63159600.000000015</v>
      </c>
      <c r="H20" s="11">
        <f t="shared" si="3"/>
        <v>65054387.999999993</v>
      </c>
      <c r="I20" s="11">
        <f t="shared" si="3"/>
        <v>65054387.999999993</v>
      </c>
      <c r="J20" s="11">
        <f t="shared" si="3"/>
        <v>67006019.640000015</v>
      </c>
      <c r="K20" s="11">
        <f t="shared" si="3"/>
        <v>67006019.640000015</v>
      </c>
      <c r="L20" s="11">
        <f t="shared" si="3"/>
        <v>69016200.229199991</v>
      </c>
      <c r="M20" s="11">
        <f t="shared" si="3"/>
        <v>69016200.229199991</v>
      </c>
      <c r="N20" s="11">
        <f t="shared" si="3"/>
        <v>71086686.236075997</v>
      </c>
      <c r="O20" s="11">
        <f t="shared" si="3"/>
        <v>71086686.236075997</v>
      </c>
      <c r="P20" s="11">
        <f t="shared" si="3"/>
        <v>73219286.823158264</v>
      </c>
      <c r="Q20" s="11">
        <f t="shared" si="3"/>
        <v>73219286.823158264</v>
      </c>
      <c r="R20" s="11">
        <f t="shared" si="3"/>
        <v>75415865.427853033</v>
      </c>
    </row>
    <row r="22" spans="1:18" ht="15" customHeight="1" x14ac:dyDescent="0.3">
      <c r="A22" s="7" t="s">
        <v>110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5" customHeight="1" x14ac:dyDescent="0.3">
      <c r="A23" s="5" t="s">
        <v>285</v>
      </c>
      <c r="B23" s="15">
        <f>IF(B3=1,Assumptions!$B$19*(1+Assumptions!$B$20)^(B4-1),0)</f>
        <v>0</v>
      </c>
      <c r="C23" s="15">
        <f>IF(C3=1,Assumptions!$B$19*(1+Assumptions!$B$20)^(C4-1),0)</f>
        <v>0</v>
      </c>
      <c r="D23" s="15">
        <f>IF(D3=1,Assumptions!$B$19*(1+Assumptions!$B$20)^(D4-1),0)</f>
        <v>1.4117647058823499</v>
      </c>
      <c r="E23" s="15">
        <f>IF(E3=1,Assumptions!$B$19*(1+Assumptions!$B$20)^(E4-1),0)</f>
        <v>1.4399999999999968</v>
      </c>
      <c r="F23" s="15">
        <f>IF(F3=1,Assumptions!$B$19*(1+Assumptions!$B$20)^(F4-1),0)</f>
        <v>1.4687999999999968</v>
      </c>
      <c r="G23" s="15">
        <f>IF(G3=1,Assumptions!$B$19*(1+Assumptions!$B$20)^(G4-1),0)</f>
        <v>1.4981759999999966</v>
      </c>
      <c r="H23" s="15">
        <f>IF(H3=1,Assumptions!$B$19*(1+Assumptions!$B$20)^(H4-1),0)</f>
        <v>1.5281395199999968</v>
      </c>
      <c r="I23" s="15">
        <f>IF(I3=1,Assumptions!$B$19*(1+Assumptions!$B$20)^(I4-1),0)</f>
        <v>1.5587023103999966</v>
      </c>
      <c r="J23" s="15">
        <f>IF(J3=1,Assumptions!$B$19*(1+Assumptions!$B$20)^(J4-1),0)</f>
        <v>1.5898763566079968</v>
      </c>
      <c r="K23" s="15">
        <f>IF(K3=1,Assumptions!$B$19*(1+Assumptions!$B$20)^(K4-1),0)</f>
        <v>1.6216738837401563</v>
      </c>
      <c r="L23" s="15">
        <f>IF(L3=1,Assumptions!$B$19*(1+Assumptions!$B$20)^(L4-1),0)</f>
        <v>1.6541073614149595</v>
      </c>
      <c r="M23" s="15">
        <f>IF(M3=1,Assumptions!$B$19*(1+Assumptions!$B$20)^(M4-1),0)</f>
        <v>1.6871895086432587</v>
      </c>
      <c r="N23" s="15">
        <f>IF(N3=1,Assumptions!$B$19*(1+Assumptions!$B$20)^(N4-1),0)</f>
        <v>1.7209332988161239</v>
      </c>
      <c r="O23" s="15">
        <f>IF(O3=1,Assumptions!$B$19*(1+Assumptions!$B$20)^(O4-1),0)</f>
        <v>1.7553519647924463</v>
      </c>
      <c r="P23" s="15">
        <f>IF(P3=1,Assumptions!$B$19*(1+Assumptions!$B$20)^(P4-1),0)</f>
        <v>1.7904590040882953</v>
      </c>
      <c r="Q23" s="15">
        <f>IF(Q3=1,Assumptions!$B$19*(1+Assumptions!$B$20)^(Q4-1),0)</f>
        <v>1.8262681841700612</v>
      </c>
      <c r="R23" s="15">
        <f>IF(R3=1,Assumptions!$B$19*(1+Assumptions!$B$20)^(R4-1),0)</f>
        <v>1.8627935478534625</v>
      </c>
    </row>
    <row r="25" spans="1:18" ht="15" customHeight="1" x14ac:dyDescent="0.3">
      <c r="A25" s="7" t="s">
        <v>111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3">
      <c r="A26" s="5" t="s">
        <v>301</v>
      </c>
      <c r="B26" s="11">
        <f t="shared" ref="B26:R26" si="4">IF(B3=1,B20*B23/1000000,0)</f>
        <v>0</v>
      </c>
      <c r="C26" s="11">
        <f t="shared" si="4"/>
        <v>0</v>
      </c>
      <c r="D26" s="11">
        <f t="shared" si="4"/>
        <v>64.927058823529279</v>
      </c>
      <c r="E26" s="11">
        <f t="shared" si="4"/>
        <v>66.225599999999858</v>
      </c>
      <c r="F26" s="11">
        <f t="shared" si="4"/>
        <v>92.768820479999832</v>
      </c>
      <c r="G26" s="11">
        <f t="shared" si="4"/>
        <v>94.624196889599816</v>
      </c>
      <c r="H26" s="11">
        <f t="shared" si="4"/>
        <v>99.412181252213543</v>
      </c>
      <c r="I26" s="11">
        <f t="shared" si="4"/>
        <v>101.40042487725781</v>
      </c>
      <c r="J26" s="11">
        <f t="shared" si="4"/>
        <v>106.53128637604711</v>
      </c>
      <c r="K26" s="11">
        <f t="shared" si="4"/>
        <v>108.66191210356801</v>
      </c>
      <c r="L26" s="11">
        <f t="shared" si="4"/>
        <v>114.16020485600852</v>
      </c>
      <c r="M26" s="11">
        <f t="shared" si="4"/>
        <v>116.4434089531287</v>
      </c>
      <c r="N26" s="11">
        <f t="shared" si="4"/>
        <v>122.33544544615701</v>
      </c>
      <c r="O26" s="11">
        <f t="shared" si="4"/>
        <v>124.78215435508014</v>
      </c>
      <c r="P26" s="11">
        <f t="shared" si="4"/>
        <v>131.09613136544721</v>
      </c>
      <c r="Q26" s="11">
        <f t="shared" si="4"/>
        <v>133.71805399275613</v>
      </c>
      <c r="R26" s="11">
        <f t="shared" si="4"/>
        <v>140.48418752478963</v>
      </c>
    </row>
    <row r="27" spans="1:18" ht="15" customHeight="1" x14ac:dyDescent="0.3">
      <c r="A27" s="5" t="s">
        <v>302</v>
      </c>
      <c r="B27" s="11">
        <f>IF(B3=1,B26*Assumptions!$B$25,0)</f>
        <v>0</v>
      </c>
      <c r="C27" s="11">
        <f>IF(C3=1,C26*Assumptions!$B$25,0)</f>
        <v>0</v>
      </c>
      <c r="D27" s="11">
        <f>IF(D3=1,D26*Assumptions!$B$25,0)</f>
        <v>1.9478117647058784</v>
      </c>
      <c r="E27" s="11">
        <f>IF(E3=1,E26*Assumptions!$B$25,0)</f>
        <v>1.9867679999999956</v>
      </c>
      <c r="F27" s="11">
        <f>IF(F3=1,F26*Assumptions!$B$25,0)</f>
        <v>2.7830646143999949</v>
      </c>
      <c r="G27" s="11">
        <f>IF(G3=1,G26*Assumptions!$B$25,0)</f>
        <v>2.8387259066879942</v>
      </c>
      <c r="H27" s="11">
        <f>IF(H3=1,H26*Assumptions!$B$25,0)</f>
        <v>2.9823654375664064</v>
      </c>
      <c r="I27" s="11">
        <f>IF(I3=1,I26*Assumptions!$B$25,0)</f>
        <v>3.042012746317734</v>
      </c>
      <c r="J27" s="11">
        <f>IF(J3=1,J26*Assumptions!$B$25,0)</f>
        <v>3.1959385912814131</v>
      </c>
      <c r="K27" s="11">
        <f>IF(K3=1,K26*Assumptions!$B$25,0)</f>
        <v>3.2598573631070402</v>
      </c>
      <c r="L27" s="11">
        <f>IF(L3=1,L26*Assumptions!$B$25,0)</f>
        <v>3.4248061456802557</v>
      </c>
      <c r="M27" s="11">
        <f>IF(M3=1,M26*Assumptions!$B$25,0)</f>
        <v>3.4933022685938608</v>
      </c>
      <c r="N27" s="11">
        <f>IF(N3=1,N26*Assumptions!$B$25,0)</f>
        <v>3.6700633633847102</v>
      </c>
      <c r="O27" s="11">
        <f>IF(O3=1,O26*Assumptions!$B$25,0)</f>
        <v>3.743464630652404</v>
      </c>
      <c r="P27" s="11">
        <f>IF(P3=1,P26*Assumptions!$B$25,0)</f>
        <v>3.932883940963416</v>
      </c>
      <c r="Q27" s="11">
        <f>IF(Q3=1,Q26*Assumptions!$B$25,0)</f>
        <v>4.0115416197826832</v>
      </c>
      <c r="R27" s="11">
        <f>IF(R3=1,R26*Assumptions!$B$25,0)</f>
        <v>4.2145256257436889</v>
      </c>
    </row>
    <row r="28" spans="1:18" ht="15" customHeight="1" x14ac:dyDescent="0.3">
      <c r="A28" s="5" t="s">
        <v>303</v>
      </c>
      <c r="B28" s="11">
        <f t="shared" ref="B28:R28" si="5">IF(B3=1,B26+B27,0)</f>
        <v>0</v>
      </c>
      <c r="C28" s="11">
        <f t="shared" si="5"/>
        <v>0</v>
      </c>
      <c r="D28" s="11">
        <f t="shared" si="5"/>
        <v>66.874870588235154</v>
      </c>
      <c r="E28" s="11">
        <f t="shared" si="5"/>
        <v>68.212367999999856</v>
      </c>
      <c r="F28" s="11">
        <f t="shared" si="5"/>
        <v>95.551885094399822</v>
      </c>
      <c r="G28" s="11">
        <f t="shared" si="5"/>
        <v>97.462922796287813</v>
      </c>
      <c r="H28" s="11">
        <f t="shared" si="5"/>
        <v>102.39454668977994</v>
      </c>
      <c r="I28" s="11">
        <f t="shared" si="5"/>
        <v>104.44243762357554</v>
      </c>
      <c r="J28" s="11">
        <f t="shared" si="5"/>
        <v>109.72722496732852</v>
      </c>
      <c r="K28" s="11">
        <f t="shared" si="5"/>
        <v>111.92176946667506</v>
      </c>
      <c r="L28" s="11">
        <f t="shared" si="5"/>
        <v>117.58501100168877</v>
      </c>
      <c r="M28" s="11">
        <f t="shared" si="5"/>
        <v>119.93671122172256</v>
      </c>
      <c r="N28" s="11">
        <f t="shared" si="5"/>
        <v>126.00550880954172</v>
      </c>
      <c r="O28" s="11">
        <f t="shared" si="5"/>
        <v>128.52561898573254</v>
      </c>
      <c r="P28" s="11">
        <f t="shared" si="5"/>
        <v>135.02901530641063</v>
      </c>
      <c r="Q28" s="11">
        <f t="shared" si="5"/>
        <v>137.72959561253882</v>
      </c>
      <c r="R28" s="11">
        <f t="shared" si="5"/>
        <v>144.69871315053331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F4E79"/>
  </sheetPr>
  <dimension ref="A1:R30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0" sqref="B20:R20"/>
    </sheetView>
  </sheetViews>
  <sheetFormatPr defaultColWidth="8.6640625" defaultRowHeight="14.4" x14ac:dyDescent="0.3"/>
  <cols>
    <col min="1" max="1" width="35" customWidth="1"/>
    <col min="2" max="18" width="16" customWidth="1"/>
  </cols>
  <sheetData>
    <row r="1" spans="1:18" ht="17.25" customHeight="1" x14ac:dyDescent="0.3">
      <c r="A1" s="3" t="s">
        <v>304</v>
      </c>
    </row>
    <row r="2" spans="1:18" ht="15" customHeight="1" x14ac:dyDescent="0.3">
      <c r="A2" s="4"/>
      <c r="B2" s="4" t="s">
        <v>74</v>
      </c>
      <c r="C2" s="4" t="s">
        <v>75</v>
      </c>
      <c r="D2" s="4" t="s">
        <v>76</v>
      </c>
      <c r="E2" s="4" t="s">
        <v>77</v>
      </c>
      <c r="F2" s="4" t="s">
        <v>78</v>
      </c>
      <c r="G2" s="4" t="s">
        <v>79</v>
      </c>
      <c r="H2" s="4" t="s">
        <v>80</v>
      </c>
      <c r="I2" s="4" t="s">
        <v>81</v>
      </c>
      <c r="J2" s="4" t="s">
        <v>82</v>
      </c>
      <c r="K2" s="4" t="s">
        <v>83</v>
      </c>
      <c r="L2" s="4" t="s">
        <v>84</v>
      </c>
      <c r="M2" s="4" t="s">
        <v>85</v>
      </c>
      <c r="N2" s="4" t="s">
        <v>86</v>
      </c>
      <c r="O2" s="4" t="s">
        <v>87</v>
      </c>
      <c r="P2" s="4" t="s">
        <v>88</v>
      </c>
      <c r="Q2" s="4" t="s">
        <v>89</v>
      </c>
      <c r="R2" s="4" t="s">
        <v>90</v>
      </c>
    </row>
    <row r="3" spans="1:18" ht="15" customHeight="1" x14ac:dyDescent="0.3">
      <c r="A3" s="5" t="s">
        <v>97</v>
      </c>
      <c r="B3" s="13">
        <f>Timeline!B8</f>
        <v>0</v>
      </c>
      <c r="C3" s="13">
        <f>Timeline!C8</f>
        <v>0</v>
      </c>
      <c r="D3" s="13">
        <f>Timeline!D8</f>
        <v>1</v>
      </c>
      <c r="E3" s="13">
        <f>Timeline!E8</f>
        <v>1</v>
      </c>
      <c r="F3" s="13">
        <f>Timeline!F8</f>
        <v>1</v>
      </c>
      <c r="G3" s="13">
        <f>Timeline!G8</f>
        <v>1</v>
      </c>
      <c r="H3" s="13">
        <f>Timeline!H8</f>
        <v>1</v>
      </c>
      <c r="I3" s="13">
        <f>Timeline!I8</f>
        <v>1</v>
      </c>
      <c r="J3" s="13">
        <f>Timeline!J8</f>
        <v>1</v>
      </c>
      <c r="K3" s="13">
        <f>Timeline!K8</f>
        <v>1</v>
      </c>
      <c r="L3" s="13">
        <f>Timeline!L8</f>
        <v>1</v>
      </c>
      <c r="M3" s="13">
        <f>Timeline!M8</f>
        <v>1</v>
      </c>
      <c r="N3" s="13">
        <f>Timeline!N8</f>
        <v>1</v>
      </c>
      <c r="O3" s="13">
        <f>Timeline!O8</f>
        <v>1</v>
      </c>
      <c r="P3" s="13">
        <f>Timeline!P8</f>
        <v>1</v>
      </c>
      <c r="Q3" s="13">
        <f>Timeline!Q8</f>
        <v>1</v>
      </c>
      <c r="R3" s="13">
        <f>Timeline!R8</f>
        <v>1</v>
      </c>
    </row>
    <row r="4" spans="1:18" ht="15" customHeight="1" x14ac:dyDescent="0.3">
      <c r="A4" s="5" t="s">
        <v>94</v>
      </c>
      <c r="B4" s="13">
        <f>Timeline!B6</f>
        <v>0</v>
      </c>
      <c r="C4" s="13">
        <f>Timeline!C6</f>
        <v>0</v>
      </c>
      <c r="D4" s="13">
        <f>Timeline!D6</f>
        <v>1</v>
      </c>
      <c r="E4" s="13">
        <f>Timeline!E6</f>
        <v>2</v>
      </c>
      <c r="F4" s="13">
        <f>Timeline!F6</f>
        <v>3</v>
      </c>
      <c r="G4" s="13">
        <f>Timeline!G6</f>
        <v>4</v>
      </c>
      <c r="H4" s="13">
        <f>Timeline!H6</f>
        <v>5</v>
      </c>
      <c r="I4" s="13">
        <f>Timeline!I6</f>
        <v>6</v>
      </c>
      <c r="J4" s="13">
        <f>Timeline!J6</f>
        <v>7</v>
      </c>
      <c r="K4" s="13">
        <f>Timeline!K6</f>
        <v>8</v>
      </c>
      <c r="L4" s="13">
        <f>Timeline!L6</f>
        <v>9</v>
      </c>
      <c r="M4" s="13">
        <f>Timeline!M6</f>
        <v>10</v>
      </c>
      <c r="N4" s="13">
        <f>Timeline!N6</f>
        <v>11</v>
      </c>
      <c r="O4" s="13">
        <f>Timeline!O6</f>
        <v>12</v>
      </c>
      <c r="P4" s="13">
        <f>Timeline!P6</f>
        <v>13</v>
      </c>
      <c r="Q4" s="13">
        <f>Timeline!Q6</f>
        <v>14</v>
      </c>
      <c r="R4" s="13">
        <f>Timeline!R6</f>
        <v>15</v>
      </c>
    </row>
    <row r="6" spans="1:18" ht="15" customHeight="1" x14ac:dyDescent="0.3">
      <c r="A6" s="7" t="s">
        <v>112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5" customHeight="1" x14ac:dyDescent="0.3">
      <c r="A7" s="5" t="s">
        <v>113</v>
      </c>
      <c r="B7" s="11">
        <f>IF(B3=1,Assumptions!$B$28*(1+Assumptions!$B$31)^(B4-1),0)</f>
        <v>0</v>
      </c>
      <c r="C7" s="11">
        <f>IF(C3=1,Assumptions!$B$28*(1+Assumptions!$B$31)^(C4-1),0)</f>
        <v>0</v>
      </c>
      <c r="D7" s="11">
        <f>IF(D3=1,Assumptions!$B$28*(1+Assumptions!$B$31)^(D4-1),0)</f>
        <v>10.588235294117601</v>
      </c>
      <c r="E7" s="11">
        <f>IF(E3=1,Assumptions!$B$28*(1+Assumptions!$B$31)^(E4-1),0)</f>
        <v>11.011764705882305</v>
      </c>
      <c r="F7" s="11">
        <f>IF(F3=1,Assumptions!$B$28*(1+Assumptions!$B$31)^(F4-1),0)</f>
        <v>11.452235294117598</v>
      </c>
      <c r="G7" s="11">
        <f>IF(G3=1,Assumptions!$B$28*(1+Assumptions!$B$31)^(G4-1),0)</f>
        <v>11.910324705882301</v>
      </c>
      <c r="H7" s="11">
        <f>IF(H3=1,Assumptions!$B$28*(1+Assumptions!$B$31)^(H4-1),0)</f>
        <v>12.386737694117596</v>
      </c>
      <c r="I7" s="11">
        <f>IF(I3=1,Assumptions!$B$28*(1+Assumptions!$B$31)^(I4-1),0)</f>
        <v>12.8822072018823</v>
      </c>
      <c r="J7" s="11">
        <f>IF(J3=1,Assumptions!$B$28*(1+Assumptions!$B$31)^(J4-1),0)</f>
        <v>13.397495489957592</v>
      </c>
      <c r="K7" s="11">
        <f>IF(K3=1,Assumptions!$B$28*(1+Assumptions!$B$31)^(K4-1),0)</f>
        <v>13.933395309555895</v>
      </c>
      <c r="L7" s="11">
        <f>IF(L3=1,Assumptions!$B$28*(1+Assumptions!$B$31)^(L4-1),0)</f>
        <v>14.490731121938133</v>
      </c>
      <c r="M7" s="11">
        <f>IF(M3=1,Assumptions!$B$28*(1+Assumptions!$B$31)^(M4-1),0)</f>
        <v>15.07036036681566</v>
      </c>
      <c r="N7" s="11">
        <f>IF(N3=1,Assumptions!$B$28*(1+Assumptions!$B$31)^(N4-1),0)</f>
        <v>15.673174781488285</v>
      </c>
      <c r="O7" s="11">
        <f>IF(O3=1,Assumptions!$B$28*(1+Assumptions!$B$31)^(O4-1),0)</f>
        <v>16.300101772747816</v>
      </c>
      <c r="P7" s="11">
        <f>IF(P3=1,Assumptions!$B$28*(1+Assumptions!$B$31)^(P4-1),0)</f>
        <v>16.952105843657733</v>
      </c>
      <c r="Q7" s="11">
        <f>IF(Q3=1,Assumptions!$B$28*(1+Assumptions!$B$31)^(Q4-1),0)</f>
        <v>17.630190077404041</v>
      </c>
      <c r="R7" s="11">
        <f>IF(R3=1,Assumptions!$B$28*(1+Assumptions!$B$31)^(R4-1),0)</f>
        <v>18.335397680500204</v>
      </c>
    </row>
    <row r="8" spans="1:18" ht="15" customHeight="1" x14ac:dyDescent="0.3">
      <c r="A8" s="5" t="s">
        <v>114</v>
      </c>
      <c r="B8" s="11">
        <f>IF(B3=1,Assumptions!$B$29*(1+Assumptions!$B$31)^(B4-1),0)</f>
        <v>0</v>
      </c>
      <c r="C8" s="11">
        <f>IF(C3=1,Assumptions!$B$29*(1+Assumptions!$B$31)^(C4-1),0)</f>
        <v>0</v>
      </c>
      <c r="D8" s="11">
        <f>IF(D3=1,Assumptions!$B$29*(1+Assumptions!$B$31)^(D4-1),0)</f>
        <v>8.8235294117647101</v>
      </c>
      <c r="E8" s="11">
        <f>IF(E3=1,Assumptions!$B$29*(1+Assumptions!$B$31)^(E4-1),0)</f>
        <v>9.1764705882352988</v>
      </c>
      <c r="F8" s="11">
        <f>IF(F3=1,Assumptions!$B$29*(1+Assumptions!$B$31)^(F4-1),0)</f>
        <v>9.5435294117647107</v>
      </c>
      <c r="G8" s="11">
        <f>IF(G3=1,Assumptions!$B$29*(1+Assumptions!$B$31)^(G4-1),0)</f>
        <v>9.9252705882352998</v>
      </c>
      <c r="H8" s="11">
        <f>IF(H3=1,Assumptions!$B$29*(1+Assumptions!$B$31)^(H4-1),0)</f>
        <v>10.322281411764713</v>
      </c>
      <c r="I8" s="11">
        <f>IF(I3=1,Assumptions!$B$29*(1+Assumptions!$B$31)^(I4-1),0)</f>
        <v>10.735172668235302</v>
      </c>
      <c r="J8" s="11">
        <f>IF(J3=1,Assumptions!$B$29*(1+Assumptions!$B$31)^(J4-1),0)</f>
        <v>11.164579574964714</v>
      </c>
      <c r="K8" s="11">
        <f>IF(K3=1,Assumptions!$B$29*(1+Assumptions!$B$31)^(K4-1),0)</f>
        <v>11.611162757963301</v>
      </c>
      <c r="L8" s="11">
        <f>IF(L3=1,Assumptions!$B$29*(1+Assumptions!$B$31)^(L4-1),0)</f>
        <v>12.075609268281836</v>
      </c>
      <c r="M8" s="11">
        <f>IF(M3=1,Assumptions!$B$29*(1+Assumptions!$B$31)^(M4-1),0)</f>
        <v>12.558633639013111</v>
      </c>
      <c r="N8" s="11">
        <f>IF(N3=1,Assumptions!$B$29*(1+Assumptions!$B$31)^(N4-1),0)</f>
        <v>13.060978984573635</v>
      </c>
      <c r="O8" s="11">
        <f>IF(O3=1,Assumptions!$B$29*(1+Assumptions!$B$31)^(O4-1),0)</f>
        <v>13.58341814395658</v>
      </c>
      <c r="P8" s="11">
        <f>IF(P3=1,Assumptions!$B$29*(1+Assumptions!$B$31)^(P4-1),0)</f>
        <v>14.126754869714846</v>
      </c>
      <c r="Q8" s="11">
        <f>IF(Q3=1,Assumptions!$B$29*(1+Assumptions!$B$31)^(Q4-1),0)</f>
        <v>14.691825064503441</v>
      </c>
      <c r="R8" s="11">
        <f>IF(R3=1,Assumptions!$B$29*(1+Assumptions!$B$31)^(R4-1),0)</f>
        <v>15.279498067083578</v>
      </c>
    </row>
    <row r="9" spans="1:18" ht="15" customHeight="1" x14ac:dyDescent="0.3">
      <c r="A9" s="5" t="s">
        <v>115</v>
      </c>
      <c r="B9" s="11">
        <f>IF(B3=1,Assumptions!$B$30*(1+Assumptions!$B$31)^(B4-1),0)</f>
        <v>0</v>
      </c>
      <c r="C9" s="11">
        <f>IF(C3=1,Assumptions!$B$30*(1+Assumptions!$B$31)^(C4-1),0)</f>
        <v>0</v>
      </c>
      <c r="D9" s="11">
        <f>IF(D3=1,Assumptions!$B$30*(1+Assumptions!$B$31)^(D4-1),0)</f>
        <v>2.9411764705882399</v>
      </c>
      <c r="E9" s="11">
        <f>IF(E3=1,Assumptions!$B$30*(1+Assumptions!$B$31)^(E4-1),0)</f>
        <v>3.0588235294117698</v>
      </c>
      <c r="F9" s="11">
        <f>IF(F3=1,Assumptions!$B$30*(1+Assumptions!$B$31)^(F4-1),0)</f>
        <v>3.1811764705882406</v>
      </c>
      <c r="G9" s="11">
        <f>IF(G3=1,Assumptions!$B$30*(1+Assumptions!$B$31)^(G4-1),0)</f>
        <v>3.3084235294117703</v>
      </c>
      <c r="H9" s="11">
        <f>IF(H3=1,Assumptions!$B$30*(1+Assumptions!$B$31)^(H4-1),0)</f>
        <v>3.4407604705882413</v>
      </c>
      <c r="I9" s="11">
        <f>IF(I3=1,Assumptions!$B$30*(1+Assumptions!$B$31)^(I4-1),0)</f>
        <v>3.5783908894117715</v>
      </c>
      <c r="J9" s="11">
        <f>IF(J3=1,Assumptions!$B$30*(1+Assumptions!$B$31)^(J4-1),0)</f>
        <v>3.7215265249882421</v>
      </c>
      <c r="K9" s="11">
        <f>IF(K3=1,Assumptions!$B$30*(1+Assumptions!$B$31)^(K4-1),0)</f>
        <v>3.8703875859877717</v>
      </c>
      <c r="L9" s="11">
        <f>IF(L3=1,Assumptions!$B$30*(1+Assumptions!$B$31)^(L4-1),0)</f>
        <v>4.0252030894272828</v>
      </c>
      <c r="M9" s="11">
        <f>IF(M3=1,Assumptions!$B$30*(1+Assumptions!$B$31)^(M4-1),0)</f>
        <v>4.1862112130043752</v>
      </c>
      <c r="N9" s="11">
        <f>IF(N3=1,Assumptions!$B$30*(1+Assumptions!$B$31)^(N4-1),0)</f>
        <v>4.3536596615245502</v>
      </c>
      <c r="O9" s="11">
        <f>IF(O3=1,Assumptions!$B$30*(1+Assumptions!$B$31)^(O4-1),0)</f>
        <v>4.5278060479855311</v>
      </c>
      <c r="P9" s="11">
        <f>IF(P3=1,Assumptions!$B$30*(1+Assumptions!$B$31)^(P4-1),0)</f>
        <v>4.708918289904954</v>
      </c>
      <c r="Q9" s="11">
        <f>IF(Q3=1,Assumptions!$B$30*(1+Assumptions!$B$31)^(Q4-1),0)</f>
        <v>4.8972750215011525</v>
      </c>
      <c r="R9" s="11">
        <f>IF(R3=1,Assumptions!$B$30*(1+Assumptions!$B$31)^(R4-1),0)</f>
        <v>5.0931660223611983</v>
      </c>
    </row>
    <row r="10" spans="1:18" ht="15" customHeight="1" x14ac:dyDescent="0.3">
      <c r="A10" s="5" t="s">
        <v>116</v>
      </c>
      <c r="B10" s="11">
        <f t="shared" ref="B10:R10" si="0">SUM(B7:B9)</f>
        <v>0</v>
      </c>
      <c r="C10" s="11">
        <f t="shared" si="0"/>
        <v>0</v>
      </c>
      <c r="D10" s="11">
        <f t="shared" si="0"/>
        <v>22.352941176470551</v>
      </c>
      <c r="E10" s="11">
        <f t="shared" si="0"/>
        <v>23.247058823529372</v>
      </c>
      <c r="F10" s="11">
        <f t="shared" si="0"/>
        <v>24.17694117647055</v>
      </c>
      <c r="G10" s="11">
        <f t="shared" si="0"/>
        <v>25.144018823529372</v>
      </c>
      <c r="H10" s="11">
        <f t="shared" si="0"/>
        <v>26.14977957647055</v>
      </c>
      <c r="I10" s="11">
        <f t="shared" si="0"/>
        <v>27.195770759529374</v>
      </c>
      <c r="J10" s="11">
        <f t="shared" si="0"/>
        <v>28.283601589910546</v>
      </c>
      <c r="K10" s="11">
        <f t="shared" si="0"/>
        <v>29.414945653506969</v>
      </c>
      <c r="L10" s="11">
        <f t="shared" si="0"/>
        <v>30.591543479647253</v>
      </c>
      <c r="M10" s="11">
        <f t="shared" si="0"/>
        <v>31.81520521883315</v>
      </c>
      <c r="N10" s="11">
        <f t="shared" si="0"/>
        <v>33.087813427586475</v>
      </c>
      <c r="O10" s="11">
        <f t="shared" si="0"/>
        <v>34.411325964689922</v>
      </c>
      <c r="P10" s="11">
        <f t="shared" si="0"/>
        <v>35.787779003277535</v>
      </c>
      <c r="Q10" s="11">
        <f t="shared" si="0"/>
        <v>37.219290163408637</v>
      </c>
      <c r="R10" s="11">
        <f t="shared" si="0"/>
        <v>38.708061769944976</v>
      </c>
    </row>
    <row r="12" spans="1:18" ht="15" customHeight="1" x14ac:dyDescent="0.3">
      <c r="A12" s="7" t="s">
        <v>117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5" customHeight="1" x14ac:dyDescent="0.3">
      <c r="A13" s="5" t="s">
        <v>118</v>
      </c>
      <c r="B13" s="13">
        <f>IF(B3=1,Revenue!B28*Assumptions!$B$34,0)</f>
        <v>0</v>
      </c>
      <c r="C13" s="13">
        <f>IF(C3=1,Revenue!C28*Assumptions!$B$34,0)</f>
        <v>0</v>
      </c>
      <c r="D13" s="13">
        <f>IF(D3=1,Revenue!D28*Assumptions!$B$34,0)</f>
        <v>3.3437435294117579</v>
      </c>
      <c r="E13" s="13">
        <f>IF(E3=1,Revenue!E28*Assumptions!$B$34,0)</f>
        <v>3.4106183999999931</v>
      </c>
      <c r="F13" s="13">
        <f>IF(F3=1,Revenue!F28*Assumptions!$B$34,0)</f>
        <v>4.7775942547199914</v>
      </c>
      <c r="G13" s="13">
        <f>IF(G3=1,Revenue!G28*Assumptions!$B$34,0)</f>
        <v>4.8731461398143914</v>
      </c>
      <c r="H13" s="13">
        <f>IF(H3=1,Revenue!H28*Assumptions!$B$34,0)</f>
        <v>5.1197273344889975</v>
      </c>
      <c r="I13" s="13">
        <f>IF(I3=1,Revenue!I28*Assumptions!$B$34,0)</f>
        <v>5.2221218811787775</v>
      </c>
      <c r="J13" s="13">
        <f>IF(J3=1,Revenue!J28*Assumptions!$B$34,0)</f>
        <v>5.4863612483664266</v>
      </c>
      <c r="K13" s="13">
        <f>IF(K3=1,Revenue!K28*Assumptions!$B$34,0)</f>
        <v>5.5960884733337535</v>
      </c>
      <c r="L13" s="13">
        <f>IF(L3=1,Revenue!L28*Assumptions!$B$34,0)</f>
        <v>5.8792505500844392</v>
      </c>
      <c r="M13" s="13">
        <f>IF(M3=1,Revenue!M28*Assumptions!$B$34,0)</f>
        <v>5.9968355610861286</v>
      </c>
      <c r="N13" s="13">
        <f>IF(N3=1,Revenue!N28*Assumptions!$B$34,0)</f>
        <v>6.3002754404770869</v>
      </c>
      <c r="O13" s="13">
        <f>IF(O3=1,Revenue!O28*Assumptions!$B$34,0)</f>
        <v>6.4262809492866273</v>
      </c>
      <c r="P13" s="13">
        <f>IF(P3=1,Revenue!P28*Assumptions!$B$34,0)</f>
        <v>6.7514507653205316</v>
      </c>
      <c r="Q13" s="13">
        <f>IF(Q3=1,Revenue!Q28*Assumptions!$B$34,0)</f>
        <v>6.8864797806269413</v>
      </c>
      <c r="R13" s="13">
        <f>IF(R3=1,Revenue!R28*Assumptions!$B$34,0)</f>
        <v>7.2349356575266661</v>
      </c>
    </row>
    <row r="14" spans="1:18" ht="15" customHeight="1" x14ac:dyDescent="0.3">
      <c r="A14" s="5" t="s">
        <v>119</v>
      </c>
      <c r="B14" s="13">
        <f>IF(B3=1,Revenue!B28*Assumptions!$B$35,0)</f>
        <v>0</v>
      </c>
      <c r="C14" s="13">
        <f>IF(C3=1,Revenue!C28*Assumptions!$B$35,0)</f>
        <v>0</v>
      </c>
      <c r="D14" s="13">
        <f>IF(D3=1,Revenue!D28*Assumptions!$B$35,0)</f>
        <v>5.0156152941176364</v>
      </c>
      <c r="E14" s="13">
        <f>IF(E3=1,Revenue!E28*Assumptions!$B$35,0)</f>
        <v>5.1159275999999894</v>
      </c>
      <c r="F14" s="13">
        <f>IF(F3=1,Revenue!F28*Assumptions!$B$35,0)</f>
        <v>7.1663913820799863</v>
      </c>
      <c r="G14" s="13">
        <f>IF(G3=1,Revenue!G28*Assumptions!$B$35,0)</f>
        <v>7.3097192097215853</v>
      </c>
      <c r="H14" s="13">
        <f>IF(H3=1,Revenue!H28*Assumptions!$B$35,0)</f>
        <v>7.6795910017334954</v>
      </c>
      <c r="I14" s="13">
        <f>IF(I3=1,Revenue!I28*Assumptions!$B$35,0)</f>
        <v>7.8331828217681654</v>
      </c>
      <c r="J14" s="13">
        <f>IF(J3=1,Revenue!J28*Assumptions!$B$35,0)</f>
        <v>8.229541872549639</v>
      </c>
      <c r="K14" s="13">
        <f>IF(K3=1,Revenue!K28*Assumptions!$B$35,0)</f>
        <v>8.3941327100006298</v>
      </c>
      <c r="L14" s="13">
        <f>IF(L3=1,Revenue!L28*Assumptions!$B$35,0)</f>
        <v>8.818875825126657</v>
      </c>
      <c r="M14" s="13">
        <f>IF(M3=1,Revenue!M28*Assumptions!$B$35,0)</f>
        <v>8.9952533416291924</v>
      </c>
      <c r="N14" s="13">
        <f>IF(N3=1,Revenue!N28*Assumptions!$B$35,0)</f>
        <v>9.4504131607156285</v>
      </c>
      <c r="O14" s="13">
        <f>IF(O3=1,Revenue!O28*Assumptions!$B$35,0)</f>
        <v>9.6394214239299405</v>
      </c>
      <c r="P14" s="13">
        <f>IF(P3=1,Revenue!P28*Assumptions!$B$35,0)</f>
        <v>10.127176147980796</v>
      </c>
      <c r="Q14" s="13">
        <f>IF(Q3=1,Revenue!Q28*Assumptions!$B$35,0)</f>
        <v>10.329719670940412</v>
      </c>
      <c r="R14" s="13">
        <f>IF(R3=1,Revenue!R28*Assumptions!$B$35,0)</f>
        <v>10.852403486289997</v>
      </c>
    </row>
    <row r="15" spans="1:18" ht="15" customHeight="1" x14ac:dyDescent="0.3">
      <c r="A15" s="5" t="s">
        <v>120</v>
      </c>
      <c r="B15" s="13">
        <f>IF(B3=1,Revenue!B28*Assumptions!$B$36,0)</f>
        <v>0</v>
      </c>
      <c r="C15" s="13">
        <f>IF(C3=1,Revenue!C28*Assumptions!$B$36,0)</f>
        <v>0</v>
      </c>
      <c r="D15" s="13">
        <f>IF(D3=1,Revenue!D28*Assumptions!$B$36,0)</f>
        <v>1.6718717647058789</v>
      </c>
      <c r="E15" s="13">
        <f>IF(E3=1,Revenue!E28*Assumptions!$B$36,0)</f>
        <v>1.7053091999999965</v>
      </c>
      <c r="F15" s="13">
        <f>IF(F3=1,Revenue!F28*Assumptions!$B$36,0)</f>
        <v>2.3887971273599957</v>
      </c>
      <c r="G15" s="13">
        <f>IF(G3=1,Revenue!G28*Assumptions!$B$36,0)</f>
        <v>2.4365730699071957</v>
      </c>
      <c r="H15" s="13">
        <f>IF(H3=1,Revenue!H28*Assumptions!$B$36,0)</f>
        <v>2.5598636672444988</v>
      </c>
      <c r="I15" s="13">
        <f>IF(I3=1,Revenue!I28*Assumptions!$B$36,0)</f>
        <v>2.6110609405893888</v>
      </c>
      <c r="J15" s="13">
        <f>IF(J3=1,Revenue!J28*Assumptions!$B$36,0)</f>
        <v>2.7431806241832133</v>
      </c>
      <c r="K15" s="13">
        <f>IF(K3=1,Revenue!K28*Assumptions!$B$36,0)</f>
        <v>2.7980442366668767</v>
      </c>
      <c r="L15" s="13">
        <f>IF(L3=1,Revenue!L28*Assumptions!$B$36,0)</f>
        <v>2.9396252750422196</v>
      </c>
      <c r="M15" s="13">
        <f>IF(M3=1,Revenue!M28*Assumptions!$B$36,0)</f>
        <v>2.9984177805430643</v>
      </c>
      <c r="N15" s="13">
        <f>IF(N3=1,Revenue!N28*Assumptions!$B$36,0)</f>
        <v>3.1501377202385434</v>
      </c>
      <c r="O15" s="13">
        <f>IF(O3=1,Revenue!O28*Assumptions!$B$36,0)</f>
        <v>3.2131404746433136</v>
      </c>
      <c r="P15" s="13">
        <f>IF(P3=1,Revenue!P28*Assumptions!$B$36,0)</f>
        <v>3.3757253826602658</v>
      </c>
      <c r="Q15" s="13">
        <f>IF(Q3=1,Revenue!Q28*Assumptions!$B$36,0)</f>
        <v>3.4432398903134707</v>
      </c>
      <c r="R15" s="13">
        <f>IF(R3=1,Revenue!R28*Assumptions!$B$36,0)</f>
        <v>3.6174678287633331</v>
      </c>
    </row>
    <row r="16" spans="1:18" ht="15" customHeight="1" x14ac:dyDescent="0.3">
      <c r="A16" s="5" t="s">
        <v>121</v>
      </c>
      <c r="B16" s="11">
        <f t="shared" ref="B16:R16" si="1">SUM(B13:B15)</f>
        <v>0</v>
      </c>
      <c r="C16" s="11">
        <f t="shared" si="1"/>
        <v>0</v>
      </c>
      <c r="D16" s="11">
        <f t="shared" si="1"/>
        <v>10.031230588235273</v>
      </c>
      <c r="E16" s="11">
        <f t="shared" si="1"/>
        <v>10.231855199999979</v>
      </c>
      <c r="F16" s="11">
        <f t="shared" si="1"/>
        <v>14.332782764159973</v>
      </c>
      <c r="G16" s="11">
        <f t="shared" si="1"/>
        <v>14.619438419443172</v>
      </c>
      <c r="H16" s="11">
        <f t="shared" si="1"/>
        <v>15.359182003466991</v>
      </c>
      <c r="I16" s="11">
        <f t="shared" si="1"/>
        <v>15.666365643536331</v>
      </c>
      <c r="J16" s="11">
        <f t="shared" si="1"/>
        <v>16.459083745099278</v>
      </c>
      <c r="K16" s="11">
        <f t="shared" si="1"/>
        <v>16.78826542000126</v>
      </c>
      <c r="L16" s="11">
        <f t="shared" si="1"/>
        <v>17.637751650253314</v>
      </c>
      <c r="M16" s="11">
        <f t="shared" si="1"/>
        <v>17.990506683258385</v>
      </c>
      <c r="N16" s="11">
        <f t="shared" si="1"/>
        <v>18.900826321431261</v>
      </c>
      <c r="O16" s="11">
        <f t="shared" si="1"/>
        <v>19.278842847859881</v>
      </c>
      <c r="P16" s="11">
        <f t="shared" si="1"/>
        <v>20.254352295961596</v>
      </c>
      <c r="Q16" s="11">
        <f t="shared" si="1"/>
        <v>20.659439341880823</v>
      </c>
      <c r="R16" s="11">
        <f t="shared" si="1"/>
        <v>21.704806972579995</v>
      </c>
    </row>
    <row r="18" spans="1:18" ht="15" customHeight="1" x14ac:dyDescent="0.3">
      <c r="A18" s="7" t="s">
        <v>37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5" customHeight="1" x14ac:dyDescent="0.3">
      <c r="A19" s="5" t="s">
        <v>122</v>
      </c>
      <c r="B19" s="11">
        <f>IF(B3=1,Assumptions!$B$39+(B4-1)*Assumptions!$B$40,0)</f>
        <v>0</v>
      </c>
      <c r="C19" s="11">
        <f>IF(C3=1,Assumptions!$B$39+(C4-1)*Assumptions!$B$40,0)</f>
        <v>0</v>
      </c>
      <c r="D19" s="11">
        <f>IF(D3=1,Assumptions!$B$39+(D4-1)*Assumptions!$B$40,0)</f>
        <v>40</v>
      </c>
      <c r="E19" s="11">
        <f>IF(E3=1,Assumptions!$B$39+(E4-1)*Assumptions!$B$40,0)</f>
        <v>42</v>
      </c>
      <c r="F19" s="11">
        <f>IF(F3=1,Assumptions!$B$39+(F4-1)*Assumptions!$B$40,0)</f>
        <v>44</v>
      </c>
      <c r="G19" s="11">
        <f>IF(G3=1,Assumptions!$B$39+(G4-1)*Assumptions!$B$40,0)</f>
        <v>46</v>
      </c>
      <c r="H19" s="11">
        <f>IF(H3=1,Assumptions!$B$39+(H4-1)*Assumptions!$B$40,0)</f>
        <v>48</v>
      </c>
      <c r="I19" s="11">
        <f>IF(I3=1,Assumptions!$B$39+(I4-1)*Assumptions!$B$40,0)</f>
        <v>50</v>
      </c>
      <c r="J19" s="11">
        <f>IF(J3=1,Assumptions!$B$39+(J4-1)*Assumptions!$B$40,0)</f>
        <v>52</v>
      </c>
      <c r="K19" s="11">
        <f>IF(K3=1,Assumptions!$B$39+(K4-1)*Assumptions!$B$40,0)</f>
        <v>54</v>
      </c>
      <c r="L19" s="11">
        <f>IF(L3=1,Assumptions!$B$39+(L4-1)*Assumptions!$B$40,0)</f>
        <v>56</v>
      </c>
      <c r="M19" s="11">
        <f>IF(M3=1,Assumptions!$B$39+(M4-1)*Assumptions!$B$40,0)</f>
        <v>58</v>
      </c>
      <c r="N19" s="11">
        <f>IF(N3=1,Assumptions!$B$39+(N4-1)*Assumptions!$B$40,0)</f>
        <v>60</v>
      </c>
      <c r="O19" s="11">
        <f>IF(O3=1,Assumptions!$B$39+(O4-1)*Assumptions!$B$40,0)</f>
        <v>62</v>
      </c>
      <c r="P19" s="11">
        <f>IF(P3=1,Assumptions!$B$39+(P4-1)*Assumptions!$B$40,0)</f>
        <v>64</v>
      </c>
      <c r="Q19" s="11">
        <f>IF(Q3=1,Assumptions!$B$39+(Q4-1)*Assumptions!$B$40,0)</f>
        <v>66</v>
      </c>
      <c r="R19" s="11">
        <f>IF(R3=1,Assumptions!$B$39+(R4-1)*Assumptions!$B$40,0)</f>
        <v>68</v>
      </c>
    </row>
    <row r="20" spans="1:18" ht="15" customHeight="1" x14ac:dyDescent="0.3">
      <c r="A20" s="5" t="s">
        <v>291</v>
      </c>
      <c r="B20" s="15">
        <f>IF(B3=1,Assumptions!$B$41*(1+Assumptions!$B$42)^(B4-1),0)</f>
        <v>0</v>
      </c>
      <c r="C20" s="15">
        <f>IF(C3=1,Assumptions!$B$41*(1+Assumptions!$B$42)^(C4-1),0)</f>
        <v>0</v>
      </c>
      <c r="D20" s="15">
        <f>IF(D3=1,Assumptions!$B$41*(1+Assumptions!$B$42)^(D4-1),0)</f>
        <v>9411.7647058823495</v>
      </c>
      <c r="E20" s="15">
        <f>IF(E3=1,Assumptions!$B$41*(1+Assumptions!$B$42)^(E4-1),0)</f>
        <v>9976.4705882352919</v>
      </c>
      <c r="F20" s="15">
        <f>IF(F3=1,Assumptions!$B$41*(1+Assumptions!$B$42)^(F4-1),0)</f>
        <v>10575.058823529409</v>
      </c>
      <c r="G20" s="15">
        <f>IF(G3=1,Assumptions!$B$41*(1+Assumptions!$B$42)^(G4-1),0)</f>
        <v>11209.562352941175</v>
      </c>
      <c r="H20" s="15">
        <f>IF(H3=1,Assumptions!$B$41*(1+Assumptions!$B$42)^(H4-1),0)</f>
        <v>11882.136094117646</v>
      </c>
      <c r="I20" s="15">
        <f>IF(I3=1,Assumptions!$B$41*(1+Assumptions!$B$42)^(I4-1),0)</f>
        <v>12595.064259764706</v>
      </c>
      <c r="J20" s="15">
        <f>IF(J3=1,Assumptions!$B$41*(1+Assumptions!$B$42)^(J4-1),0)</f>
        <v>13350.768115350589</v>
      </c>
      <c r="K20" s="15">
        <f>IF(K3=1,Assumptions!$B$41*(1+Assumptions!$B$42)^(K4-1),0)</f>
        <v>14151.814202271626</v>
      </c>
      <c r="L20" s="15">
        <f>IF(L3=1,Assumptions!$B$41*(1+Assumptions!$B$42)^(L4-1),0)</f>
        <v>15000.923054407922</v>
      </c>
      <c r="M20" s="15">
        <f>IF(M3=1,Assumptions!$B$41*(1+Assumptions!$B$42)^(M4-1),0)</f>
        <v>15900.978437672398</v>
      </c>
      <c r="N20" s="15">
        <f>IF(N3=1,Assumptions!$B$41*(1+Assumptions!$B$42)^(N4-1),0)</f>
        <v>16855.037143932743</v>
      </c>
      <c r="O20" s="15">
        <f>IF(O3=1,Assumptions!$B$41*(1+Assumptions!$B$42)^(O4-1),0)</f>
        <v>17866.339372568709</v>
      </c>
      <c r="P20" s="15">
        <f>IF(P3=1,Assumptions!$B$41*(1+Assumptions!$B$42)^(P4-1),0)</f>
        <v>18938.319734922832</v>
      </c>
      <c r="Q20" s="15">
        <f>IF(Q3=1,Assumptions!$B$41*(1+Assumptions!$B$42)^(Q4-1),0)</f>
        <v>20074.618919018205</v>
      </c>
      <c r="R20" s="15">
        <f>IF(R3=1,Assumptions!$B$41*(1+Assumptions!$B$42)^(R4-1),0)</f>
        <v>21279.096054159298</v>
      </c>
    </row>
    <row r="21" spans="1:18" ht="15" customHeight="1" x14ac:dyDescent="0.3">
      <c r="A21" s="5" t="s">
        <v>305</v>
      </c>
      <c r="B21" s="11">
        <f t="shared" ref="B21:R21" si="2">IF(B3=1,B19*B20/1000000,0)</f>
        <v>0</v>
      </c>
      <c r="C21" s="11">
        <f t="shared" si="2"/>
        <v>0</v>
      </c>
      <c r="D21" s="11">
        <f t="shared" si="2"/>
        <v>0.376470588235294</v>
      </c>
      <c r="E21" s="11">
        <f t="shared" si="2"/>
        <v>0.41901176470588225</v>
      </c>
      <c r="F21" s="11">
        <f t="shared" si="2"/>
        <v>0.46530258823529397</v>
      </c>
      <c r="G21" s="11">
        <f t="shared" si="2"/>
        <v>0.51563986823529406</v>
      </c>
      <c r="H21" s="11">
        <f t="shared" si="2"/>
        <v>0.57034253251764699</v>
      </c>
      <c r="I21" s="11">
        <f t="shared" si="2"/>
        <v>0.62975321298823528</v>
      </c>
      <c r="J21" s="11">
        <f t="shared" si="2"/>
        <v>0.69423994199823069</v>
      </c>
      <c r="K21" s="11">
        <f t="shared" si="2"/>
        <v>0.76419796692266784</v>
      </c>
      <c r="L21" s="11">
        <f t="shared" si="2"/>
        <v>0.84005169104684363</v>
      </c>
      <c r="M21" s="11">
        <f t="shared" si="2"/>
        <v>0.92225674938499902</v>
      </c>
      <c r="N21" s="11">
        <f t="shared" si="2"/>
        <v>1.0113022286359645</v>
      </c>
      <c r="O21" s="11">
        <f t="shared" si="2"/>
        <v>1.1077130410992599</v>
      </c>
      <c r="P21" s="11">
        <f t="shared" si="2"/>
        <v>1.2120524630350613</v>
      </c>
      <c r="Q21" s="11">
        <f t="shared" si="2"/>
        <v>1.3249248486552014</v>
      </c>
      <c r="R21" s="11">
        <f t="shared" si="2"/>
        <v>1.4469785316828321</v>
      </c>
    </row>
    <row r="23" spans="1:18" ht="15" customHeight="1" x14ac:dyDescent="0.3">
      <c r="A23" s="7" t="s">
        <v>123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15" customHeight="1" x14ac:dyDescent="0.3">
      <c r="A24" s="5" t="s">
        <v>124</v>
      </c>
      <c r="B24" s="13">
        <f>IF(B3=1,Revenue!B26*Assumptions!$B$45,0)</f>
        <v>0</v>
      </c>
      <c r="C24" s="13">
        <f>IF(C3=1,Revenue!C26*Assumptions!$B$45,0)</f>
        <v>0</v>
      </c>
      <c r="D24" s="13">
        <f>IF(D3=1,Revenue!D26*Assumptions!$B$45,0)</f>
        <v>15.582494117647027</v>
      </c>
      <c r="E24" s="13">
        <f>IF(E3=1,Revenue!E26*Assumptions!$B$45,0)</f>
        <v>15.894143999999965</v>
      </c>
      <c r="F24" s="13">
        <f>IF(F3=1,Revenue!F26*Assumptions!$B$45,0)</f>
        <v>22.264516915199959</v>
      </c>
      <c r="G24" s="13">
        <f>IF(G3=1,Revenue!G26*Assumptions!$B$45,0)</f>
        <v>22.709807253503953</v>
      </c>
      <c r="H24" s="13">
        <f>IF(H3=1,Revenue!H26*Assumptions!$B$45,0)</f>
        <v>23.858923500531251</v>
      </c>
      <c r="I24" s="13">
        <f>IF(I3=1,Revenue!I26*Assumptions!$B$45,0)</f>
        <v>24.336101970541872</v>
      </c>
      <c r="J24" s="13">
        <f>IF(J3=1,Revenue!J26*Assumptions!$B$45,0)</f>
        <v>25.567508730251305</v>
      </c>
      <c r="K24" s="13">
        <f>IF(K3=1,Revenue!K26*Assumptions!$B$45,0)</f>
        <v>26.078858904856322</v>
      </c>
      <c r="L24" s="13">
        <f>IF(L3=1,Revenue!L26*Assumptions!$B$45,0)</f>
        <v>27.398449165442045</v>
      </c>
      <c r="M24" s="13">
        <f>IF(M3=1,Revenue!M26*Assumptions!$B$45,0)</f>
        <v>27.946418148750887</v>
      </c>
      <c r="N24" s="13">
        <f>IF(N3=1,Revenue!N26*Assumptions!$B$45,0)</f>
        <v>29.360506907077681</v>
      </c>
      <c r="O24" s="13">
        <f>IF(O3=1,Revenue!O26*Assumptions!$B$45,0)</f>
        <v>29.947717045219232</v>
      </c>
      <c r="P24" s="13">
        <f>IF(P3=1,Revenue!P26*Assumptions!$B$45,0)</f>
        <v>31.463071527707328</v>
      </c>
      <c r="Q24" s="13">
        <f>IF(Q3=1,Revenue!Q26*Assumptions!$B$45,0)</f>
        <v>32.092332958261466</v>
      </c>
      <c r="R24" s="13">
        <f>IF(R3=1,Revenue!R26*Assumptions!$B$45,0)</f>
        <v>33.716205005949512</v>
      </c>
    </row>
    <row r="25" spans="1:18" ht="15" customHeight="1" x14ac:dyDescent="0.3">
      <c r="A25" s="5" t="s">
        <v>125</v>
      </c>
      <c r="B25" s="11">
        <f>IF(B3=1,Assumptions!$B$46*(1+Assumptions!$B$47)^(B4-1),0)</f>
        <v>0</v>
      </c>
      <c r="C25" s="11">
        <f>IF(C3=1,Assumptions!$B$46*(1+Assumptions!$B$47)^(C4-1),0)</f>
        <v>0</v>
      </c>
      <c r="D25" s="11">
        <f>IF(D3=1,Assumptions!$B$46*(1+Assumptions!$B$47)^(D4-1),0)</f>
        <v>15.294117647058799</v>
      </c>
      <c r="E25" s="11">
        <f>IF(E3=1,Assumptions!$B$46*(1+Assumptions!$B$47)^(E4-1),0)</f>
        <v>15.905882352941152</v>
      </c>
      <c r="F25" s="11">
        <f>IF(F3=1,Assumptions!$B$46*(1+Assumptions!$B$47)^(F4-1),0)</f>
        <v>16.542117647058799</v>
      </c>
      <c r="G25" s="11">
        <f>IF(G3=1,Assumptions!$B$46*(1+Assumptions!$B$47)^(G4-1),0)</f>
        <v>17.20380235294115</v>
      </c>
      <c r="H25" s="11">
        <f>IF(H3=1,Assumptions!$B$46*(1+Assumptions!$B$47)^(H4-1),0)</f>
        <v>17.891954447058797</v>
      </c>
      <c r="I25" s="11">
        <f>IF(I3=1,Assumptions!$B$46*(1+Assumptions!$B$47)^(I4-1),0)</f>
        <v>18.607632624941154</v>
      </c>
      <c r="J25" s="11">
        <f>IF(J3=1,Assumptions!$B$46*(1+Assumptions!$B$47)^(J4-1),0)</f>
        <v>19.351937929938799</v>
      </c>
      <c r="K25" s="11">
        <f>IF(K3=1,Assumptions!$B$46*(1+Assumptions!$B$47)^(K4-1),0)</f>
        <v>20.12601544713635</v>
      </c>
      <c r="L25" s="11">
        <f>IF(L3=1,Assumptions!$B$46*(1+Assumptions!$B$47)^(L4-1),0)</f>
        <v>20.931056065021806</v>
      </c>
      <c r="M25" s="11">
        <f>IF(M3=1,Assumptions!$B$46*(1+Assumptions!$B$47)^(M4-1),0)</f>
        <v>21.768298307622679</v>
      </c>
      <c r="N25" s="11">
        <f>IF(N3=1,Assumptions!$B$46*(1+Assumptions!$B$47)^(N4-1),0)</f>
        <v>22.639030239927589</v>
      </c>
      <c r="O25" s="11">
        <f>IF(O3=1,Assumptions!$B$46*(1+Assumptions!$B$47)^(O4-1),0)</f>
        <v>23.544591449524688</v>
      </c>
      <c r="P25" s="11">
        <f>IF(P3=1,Assumptions!$B$46*(1+Assumptions!$B$47)^(P4-1),0)</f>
        <v>24.486375107505683</v>
      </c>
      <c r="Q25" s="11">
        <f>IF(Q3=1,Assumptions!$B$46*(1+Assumptions!$B$47)^(Q4-1),0)</f>
        <v>25.465830111805911</v>
      </c>
      <c r="R25" s="11">
        <f>IF(R3=1,Assumptions!$B$46*(1+Assumptions!$B$47)^(R4-1),0)</f>
        <v>26.484463316278145</v>
      </c>
    </row>
    <row r="26" spans="1:18" ht="15" customHeight="1" x14ac:dyDescent="0.3">
      <c r="A26" s="5" t="s">
        <v>126</v>
      </c>
      <c r="B26" s="11">
        <f t="shared" ref="B26:R26" si="3">IF(B3=1,MAX(B24,B25),0)</f>
        <v>0</v>
      </c>
      <c r="C26" s="11">
        <f t="shared" si="3"/>
        <v>0</v>
      </c>
      <c r="D26" s="11">
        <f t="shared" si="3"/>
        <v>15.582494117647027</v>
      </c>
      <c r="E26" s="11">
        <f t="shared" si="3"/>
        <v>15.905882352941152</v>
      </c>
      <c r="F26" s="11">
        <f t="shared" si="3"/>
        <v>22.264516915199959</v>
      </c>
      <c r="G26" s="11">
        <f t="shared" si="3"/>
        <v>22.709807253503953</v>
      </c>
      <c r="H26" s="11">
        <f t="shared" si="3"/>
        <v>23.858923500531251</v>
      </c>
      <c r="I26" s="11">
        <f t="shared" si="3"/>
        <v>24.336101970541872</v>
      </c>
      <c r="J26" s="11">
        <f t="shared" si="3"/>
        <v>25.567508730251305</v>
      </c>
      <c r="K26" s="11">
        <f t="shared" si="3"/>
        <v>26.078858904856322</v>
      </c>
      <c r="L26" s="11">
        <f t="shared" si="3"/>
        <v>27.398449165442045</v>
      </c>
      <c r="M26" s="11">
        <f t="shared" si="3"/>
        <v>27.946418148750887</v>
      </c>
      <c r="N26" s="11">
        <f t="shared" si="3"/>
        <v>29.360506907077681</v>
      </c>
      <c r="O26" s="11">
        <f t="shared" si="3"/>
        <v>29.947717045219232</v>
      </c>
      <c r="P26" s="11">
        <f t="shared" si="3"/>
        <v>31.463071527707328</v>
      </c>
      <c r="Q26" s="11">
        <f t="shared" si="3"/>
        <v>32.092332958261466</v>
      </c>
      <c r="R26" s="11">
        <f t="shared" si="3"/>
        <v>33.716205005949512</v>
      </c>
    </row>
    <row r="28" spans="1:18" ht="15" customHeight="1" x14ac:dyDescent="0.3">
      <c r="A28" s="7" t="s">
        <v>127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 x14ac:dyDescent="0.3">
      <c r="A29" s="5" t="s">
        <v>128</v>
      </c>
      <c r="B29" s="11">
        <f t="shared" ref="B29:R29" si="4">B10+B16+B21+B26</f>
        <v>0</v>
      </c>
      <c r="C29" s="11">
        <f t="shared" si="4"/>
        <v>0</v>
      </c>
      <c r="D29" s="11">
        <f t="shared" si="4"/>
        <v>48.343136470588149</v>
      </c>
      <c r="E29" s="11">
        <f t="shared" si="4"/>
        <v>49.80380814117639</v>
      </c>
      <c r="F29" s="11">
        <f t="shared" si="4"/>
        <v>61.239543444065774</v>
      </c>
      <c r="G29" s="11">
        <f t="shared" si="4"/>
        <v>62.988904364711793</v>
      </c>
      <c r="H29" s="11">
        <f t="shared" si="4"/>
        <v>65.938227612986438</v>
      </c>
      <c r="I29" s="11">
        <f t="shared" si="4"/>
        <v>67.827991586595815</v>
      </c>
      <c r="J29" s="11">
        <f t="shared" si="4"/>
        <v>71.004434007259363</v>
      </c>
      <c r="K29" s="11">
        <f t="shared" si="4"/>
        <v>73.046267945287212</v>
      </c>
      <c r="L29" s="11">
        <f t="shared" si="4"/>
        <v>76.467795986389461</v>
      </c>
      <c r="M29" s="11">
        <f t="shared" si="4"/>
        <v>78.67438680022741</v>
      </c>
      <c r="N29" s="11">
        <f t="shared" si="4"/>
        <v>82.360448884731383</v>
      </c>
      <c r="O29" s="11">
        <f t="shared" si="4"/>
        <v>84.745598898868295</v>
      </c>
      <c r="P29" s="11">
        <f t="shared" si="4"/>
        <v>88.717255289981523</v>
      </c>
      <c r="Q29" s="11">
        <f t="shared" si="4"/>
        <v>91.295987312206123</v>
      </c>
      <c r="R29" s="11">
        <f t="shared" si="4"/>
        <v>95.576052280157313</v>
      </c>
    </row>
    <row r="30" spans="1:18" ht="15" customHeight="1" x14ac:dyDescent="0.3">
      <c r="A30" s="5" t="s">
        <v>129</v>
      </c>
      <c r="B30" s="13">
        <f>Revenue!B28-B29</f>
        <v>0</v>
      </c>
      <c r="C30" s="13">
        <f>Revenue!C28-C29</f>
        <v>0</v>
      </c>
      <c r="D30" s="13">
        <f>Revenue!D28-D29</f>
        <v>18.531734117647005</v>
      </c>
      <c r="E30" s="13">
        <f>Revenue!E28-E29</f>
        <v>18.408559858823466</v>
      </c>
      <c r="F30" s="13">
        <f>Revenue!F28-F29</f>
        <v>34.312341650334048</v>
      </c>
      <c r="G30" s="13">
        <f>Revenue!G28-G29</f>
        <v>34.47401843157602</v>
      </c>
      <c r="H30" s="13">
        <f>Revenue!H28-H29</f>
        <v>36.456319076793505</v>
      </c>
      <c r="I30" s="13">
        <f>Revenue!I28-I29</f>
        <v>36.614446036979729</v>
      </c>
      <c r="J30" s="13">
        <f>Revenue!J28-J29</f>
        <v>38.722790960069162</v>
      </c>
      <c r="K30" s="13">
        <f>Revenue!K28-K29</f>
        <v>38.875501521387847</v>
      </c>
      <c r="L30" s="13">
        <f>Revenue!L28-L29</f>
        <v>41.117215015299308</v>
      </c>
      <c r="M30" s="13">
        <f>Revenue!M28-M29</f>
        <v>41.262324421495151</v>
      </c>
      <c r="N30" s="13">
        <f>Revenue!N28-N29</f>
        <v>43.64505992481034</v>
      </c>
      <c r="O30" s="13">
        <f>Revenue!O28-O29</f>
        <v>43.780020086864241</v>
      </c>
      <c r="P30" s="13">
        <f>Revenue!P28-P29</f>
        <v>46.311760016429105</v>
      </c>
      <c r="Q30" s="13">
        <f>Revenue!Q28-Q29</f>
        <v>46.433608300332693</v>
      </c>
      <c r="R30" s="13">
        <f>Revenue!R28-R29</f>
        <v>49.122660870375995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F4E79"/>
  </sheetPr>
  <dimension ref="A1:R19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9" sqref="C19"/>
    </sheetView>
  </sheetViews>
  <sheetFormatPr defaultColWidth="8.6640625" defaultRowHeight="14.4" x14ac:dyDescent="0.3"/>
  <cols>
    <col min="1" max="1" width="35" customWidth="1"/>
    <col min="2" max="18" width="16" customWidth="1"/>
  </cols>
  <sheetData>
    <row r="1" spans="1:18" ht="17.25" customHeight="1" x14ac:dyDescent="0.3">
      <c r="A1" s="3" t="s">
        <v>306</v>
      </c>
    </row>
    <row r="2" spans="1:18" ht="15" customHeight="1" x14ac:dyDescent="0.3">
      <c r="A2" s="4"/>
      <c r="B2" s="4" t="s">
        <v>74</v>
      </c>
      <c r="C2" s="4" t="s">
        <v>75</v>
      </c>
      <c r="D2" s="4" t="s">
        <v>76</v>
      </c>
      <c r="E2" s="4" t="s">
        <v>77</v>
      </c>
      <c r="F2" s="4" t="s">
        <v>78</v>
      </c>
      <c r="G2" s="4" t="s">
        <v>79</v>
      </c>
      <c r="H2" s="4" t="s">
        <v>80</v>
      </c>
      <c r="I2" s="4" t="s">
        <v>81</v>
      </c>
      <c r="J2" s="4" t="s">
        <v>82</v>
      </c>
      <c r="K2" s="4" t="s">
        <v>83</v>
      </c>
      <c r="L2" s="4" t="s">
        <v>84</v>
      </c>
      <c r="M2" s="4" t="s">
        <v>85</v>
      </c>
      <c r="N2" s="4" t="s">
        <v>86</v>
      </c>
      <c r="O2" s="4" t="s">
        <v>87</v>
      </c>
      <c r="P2" s="4" t="s">
        <v>88</v>
      </c>
      <c r="Q2" s="4" t="s">
        <v>89</v>
      </c>
      <c r="R2" s="4" t="s">
        <v>90</v>
      </c>
    </row>
    <row r="3" spans="1:18" ht="15" customHeight="1" x14ac:dyDescent="0.3">
      <c r="A3" s="7" t="s">
        <v>130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" customHeight="1" x14ac:dyDescent="0.3">
      <c r="A4" s="5" t="s">
        <v>131</v>
      </c>
      <c r="B4" s="13">
        <f>Assumptions!$B$50</f>
        <v>23.529411764705898</v>
      </c>
      <c r="C4" s="11">
        <f>0</f>
        <v>0</v>
      </c>
      <c r="D4" s="11">
        <f>0</f>
        <v>0</v>
      </c>
      <c r="E4" s="11">
        <f>0</f>
        <v>0</v>
      </c>
      <c r="F4" s="11">
        <f>0</f>
        <v>0</v>
      </c>
      <c r="G4" s="11">
        <f>0</f>
        <v>0</v>
      </c>
      <c r="H4" s="11">
        <f>0</f>
        <v>0</v>
      </c>
      <c r="I4" s="11">
        <f>0</f>
        <v>0</v>
      </c>
      <c r="J4" s="11">
        <f>0</f>
        <v>0</v>
      </c>
      <c r="K4" s="11">
        <f>0</f>
        <v>0</v>
      </c>
      <c r="L4" s="11">
        <f>0</f>
        <v>0</v>
      </c>
      <c r="M4" s="11">
        <f>0</f>
        <v>0</v>
      </c>
      <c r="N4" s="11">
        <f>0</f>
        <v>0</v>
      </c>
      <c r="O4" s="11">
        <f>0</f>
        <v>0</v>
      </c>
      <c r="P4" s="11">
        <f>0</f>
        <v>0</v>
      </c>
      <c r="Q4" s="11">
        <f>0</f>
        <v>0</v>
      </c>
      <c r="R4" s="11">
        <f>0</f>
        <v>0</v>
      </c>
    </row>
    <row r="5" spans="1:18" ht="15" customHeight="1" x14ac:dyDescent="0.3">
      <c r="A5" s="5" t="s">
        <v>132</v>
      </c>
      <c r="B5" s="13">
        <f>Assumptions!$B$51</f>
        <v>21.176470588235301</v>
      </c>
      <c r="C5" s="13">
        <f>Assumptions!$B$52</f>
        <v>5.8823529411764701</v>
      </c>
      <c r="D5" s="11">
        <f>0</f>
        <v>0</v>
      </c>
      <c r="E5" s="11">
        <f>0</f>
        <v>0</v>
      </c>
      <c r="F5" s="11">
        <f>0</f>
        <v>0</v>
      </c>
      <c r="G5" s="11">
        <f>0</f>
        <v>0</v>
      </c>
      <c r="H5" s="11">
        <f>0</f>
        <v>0</v>
      </c>
      <c r="I5" s="11">
        <f>0</f>
        <v>0</v>
      </c>
      <c r="J5" s="11">
        <f>0</f>
        <v>0</v>
      </c>
      <c r="K5" s="11">
        <f>0</f>
        <v>0</v>
      </c>
      <c r="L5" s="11">
        <f>0</f>
        <v>0</v>
      </c>
      <c r="M5" s="11">
        <f>0</f>
        <v>0</v>
      </c>
      <c r="N5" s="11">
        <f>0</f>
        <v>0</v>
      </c>
      <c r="O5" s="11">
        <f>0</f>
        <v>0</v>
      </c>
      <c r="P5" s="11">
        <f>0</f>
        <v>0</v>
      </c>
      <c r="Q5" s="11">
        <f>0</f>
        <v>0</v>
      </c>
      <c r="R5" s="11">
        <f>0</f>
        <v>0</v>
      </c>
    </row>
    <row r="6" spans="1:18" ht="15" customHeight="1" x14ac:dyDescent="0.3">
      <c r="A6" s="5" t="s">
        <v>133</v>
      </c>
      <c r="B6" s="11">
        <f t="shared" ref="B6:R6" si="0">B4+B5</f>
        <v>44.705882352941202</v>
      </c>
      <c r="C6" s="11">
        <f t="shared" si="0"/>
        <v>5.8823529411764701</v>
      </c>
      <c r="D6" s="11">
        <f t="shared" si="0"/>
        <v>0</v>
      </c>
      <c r="E6" s="11">
        <f t="shared" si="0"/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  <c r="K6" s="11">
        <f t="shared" si="0"/>
        <v>0</v>
      </c>
      <c r="L6" s="11">
        <f t="shared" si="0"/>
        <v>0</v>
      </c>
      <c r="M6" s="11">
        <f t="shared" si="0"/>
        <v>0</v>
      </c>
      <c r="N6" s="11">
        <f t="shared" si="0"/>
        <v>0</v>
      </c>
      <c r="O6" s="11">
        <f t="shared" si="0"/>
        <v>0</v>
      </c>
      <c r="P6" s="11">
        <f t="shared" si="0"/>
        <v>0</v>
      </c>
      <c r="Q6" s="11">
        <f t="shared" si="0"/>
        <v>0</v>
      </c>
      <c r="R6" s="11">
        <f t="shared" si="0"/>
        <v>0</v>
      </c>
    </row>
    <row r="8" spans="1:18" ht="15" customHeight="1" x14ac:dyDescent="0.3">
      <c r="A8" s="7" t="s">
        <v>134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" customHeight="1" x14ac:dyDescent="0.3">
      <c r="A9" s="5" t="s">
        <v>135</v>
      </c>
      <c r="B9" s="11">
        <f>B5</f>
        <v>21.176470588235301</v>
      </c>
      <c r="C9" s="11">
        <f t="shared" ref="C9:R9" si="1">B9+C5</f>
        <v>27.058823529411772</v>
      </c>
      <c r="D9" s="11">
        <f t="shared" si="1"/>
        <v>27.058823529411772</v>
      </c>
      <c r="E9" s="11">
        <f t="shared" si="1"/>
        <v>27.058823529411772</v>
      </c>
      <c r="F9" s="11">
        <f t="shared" si="1"/>
        <v>27.058823529411772</v>
      </c>
      <c r="G9" s="11">
        <f t="shared" si="1"/>
        <v>27.058823529411772</v>
      </c>
      <c r="H9" s="11">
        <f t="shared" si="1"/>
        <v>27.058823529411772</v>
      </c>
      <c r="I9" s="11">
        <f t="shared" si="1"/>
        <v>27.058823529411772</v>
      </c>
      <c r="J9" s="11">
        <f t="shared" si="1"/>
        <v>27.058823529411772</v>
      </c>
      <c r="K9" s="11">
        <f t="shared" si="1"/>
        <v>27.058823529411772</v>
      </c>
      <c r="L9" s="11">
        <f t="shared" si="1"/>
        <v>27.058823529411772</v>
      </c>
      <c r="M9" s="11">
        <f t="shared" si="1"/>
        <v>27.058823529411772</v>
      </c>
      <c r="N9" s="11">
        <f t="shared" si="1"/>
        <v>27.058823529411772</v>
      </c>
      <c r="O9" s="11">
        <f t="shared" si="1"/>
        <v>27.058823529411772</v>
      </c>
      <c r="P9" s="11">
        <f t="shared" si="1"/>
        <v>27.058823529411772</v>
      </c>
      <c r="Q9" s="11">
        <f t="shared" si="1"/>
        <v>27.058823529411772</v>
      </c>
      <c r="R9" s="11">
        <f t="shared" si="1"/>
        <v>27.058823529411772</v>
      </c>
    </row>
    <row r="10" spans="1:18" ht="15" customHeight="1" x14ac:dyDescent="0.3">
      <c r="A10" s="5" t="s">
        <v>136</v>
      </c>
      <c r="B10" s="13">
        <f>IF(AND(Timeline!B8=1,Timeline!B6&lt;=Assumptions!$B$53),B9/Assumptions!$B$53,0)</f>
        <v>0</v>
      </c>
      <c r="C10" s="13">
        <f>IF(AND(Timeline!C8=1,Timeline!C6&lt;=Assumptions!$B$53),C9/Assumptions!$B$53,0)</f>
        <v>0</v>
      </c>
      <c r="D10" s="13">
        <f>IF(AND(Timeline!D8=1,Timeline!D6&lt;=Assumptions!$B$53),D9/Assumptions!$B$53,0)</f>
        <v>5.4117647058823541</v>
      </c>
      <c r="E10" s="13">
        <f>IF(AND(Timeline!E8=1,Timeline!E6&lt;=Assumptions!$B$53),E9/Assumptions!$B$53,0)</f>
        <v>5.4117647058823541</v>
      </c>
      <c r="F10" s="13">
        <f>IF(AND(Timeline!F8=1,Timeline!F6&lt;=Assumptions!$B$53),F9/Assumptions!$B$53,0)</f>
        <v>5.4117647058823541</v>
      </c>
      <c r="G10" s="13">
        <f>IF(AND(Timeline!G8=1,Timeline!G6&lt;=Assumptions!$B$53),G9/Assumptions!$B$53,0)</f>
        <v>5.4117647058823541</v>
      </c>
      <c r="H10" s="13">
        <f>IF(AND(Timeline!H8=1,Timeline!H6&lt;=Assumptions!$B$53),H9/Assumptions!$B$53,0)</f>
        <v>5.4117647058823541</v>
      </c>
      <c r="I10" s="13">
        <f>IF(AND(Timeline!I8=1,Timeline!I6&lt;=Assumptions!$B$53),I9/Assumptions!$B$53,0)</f>
        <v>0</v>
      </c>
      <c r="J10" s="13">
        <f>IF(AND(Timeline!J8=1,Timeline!J6&lt;=Assumptions!$B$53),J9/Assumptions!$B$53,0)</f>
        <v>0</v>
      </c>
      <c r="K10" s="13">
        <f>IF(AND(Timeline!K8=1,Timeline!K6&lt;=Assumptions!$B$53),K9/Assumptions!$B$53,0)</f>
        <v>0</v>
      </c>
      <c r="L10" s="13">
        <f>IF(AND(Timeline!L8=1,Timeline!L6&lt;=Assumptions!$B$53),L9/Assumptions!$B$53,0)</f>
        <v>0</v>
      </c>
      <c r="M10" s="13">
        <f>IF(AND(Timeline!M8=1,Timeline!M6&lt;=Assumptions!$B$53),M9/Assumptions!$B$53,0)</f>
        <v>0</v>
      </c>
      <c r="N10" s="13">
        <f>IF(AND(Timeline!N8=1,Timeline!N6&lt;=Assumptions!$B$53),N9/Assumptions!$B$53,0)</f>
        <v>0</v>
      </c>
      <c r="O10" s="13">
        <f>IF(AND(Timeline!O8=1,Timeline!O6&lt;=Assumptions!$B$53),O9/Assumptions!$B$53,0)</f>
        <v>0</v>
      </c>
      <c r="P10" s="13">
        <f>IF(AND(Timeline!P8=1,Timeline!P6&lt;=Assumptions!$B$53),P9/Assumptions!$B$53,0)</f>
        <v>0</v>
      </c>
      <c r="Q10" s="13">
        <f>IF(AND(Timeline!Q8=1,Timeline!Q6&lt;=Assumptions!$B$53),Q9/Assumptions!$B$53,0)</f>
        <v>0</v>
      </c>
      <c r="R10" s="13">
        <f>IF(AND(Timeline!R8=1,Timeline!R6&lt;=Assumptions!$B$53),R9/Assumptions!$B$53,0)</f>
        <v>0</v>
      </c>
    </row>
    <row r="11" spans="1:18" ht="15" customHeight="1" x14ac:dyDescent="0.3">
      <c r="A11" s="5" t="s">
        <v>137</v>
      </c>
      <c r="B11" s="11">
        <f>B10</f>
        <v>0</v>
      </c>
      <c r="C11" s="11">
        <f t="shared" ref="C11:R11" si="2">B11+C10</f>
        <v>0</v>
      </c>
      <c r="D11" s="11">
        <f t="shared" si="2"/>
        <v>5.4117647058823541</v>
      </c>
      <c r="E11" s="11">
        <f t="shared" si="2"/>
        <v>10.823529411764708</v>
      </c>
      <c r="F11" s="11">
        <f t="shared" si="2"/>
        <v>16.235294117647062</v>
      </c>
      <c r="G11" s="11">
        <f t="shared" si="2"/>
        <v>21.647058823529417</v>
      </c>
      <c r="H11" s="11">
        <f t="shared" si="2"/>
        <v>27.058823529411772</v>
      </c>
      <c r="I11" s="11">
        <f t="shared" si="2"/>
        <v>27.058823529411772</v>
      </c>
      <c r="J11" s="11">
        <f t="shared" si="2"/>
        <v>27.058823529411772</v>
      </c>
      <c r="K11" s="11">
        <f t="shared" si="2"/>
        <v>27.058823529411772</v>
      </c>
      <c r="L11" s="11">
        <f t="shared" si="2"/>
        <v>27.058823529411772</v>
      </c>
      <c r="M11" s="11">
        <f t="shared" si="2"/>
        <v>27.058823529411772</v>
      </c>
      <c r="N11" s="11">
        <f t="shared" si="2"/>
        <v>27.058823529411772</v>
      </c>
      <c r="O11" s="11">
        <f t="shared" si="2"/>
        <v>27.058823529411772</v>
      </c>
      <c r="P11" s="11">
        <f t="shared" si="2"/>
        <v>27.058823529411772</v>
      </c>
      <c r="Q11" s="11">
        <f t="shared" si="2"/>
        <v>27.058823529411772</v>
      </c>
      <c r="R11" s="11">
        <f t="shared" si="2"/>
        <v>27.058823529411772</v>
      </c>
    </row>
    <row r="12" spans="1:18" ht="15" customHeight="1" x14ac:dyDescent="0.3">
      <c r="A12" s="5" t="s">
        <v>138</v>
      </c>
      <c r="B12" s="11">
        <f>SUM(B4:B4)+B9-B11</f>
        <v>44.705882352941202</v>
      </c>
      <c r="C12" s="11">
        <f>SUM(B4:C4)+C9-C11</f>
        <v>50.588235294117666</v>
      </c>
      <c r="D12" s="11">
        <f>SUM(B4:D4)+D9-D11</f>
        <v>45.176470588235311</v>
      </c>
      <c r="E12" s="11">
        <f>SUM(B4:E4)+E9-E11</f>
        <v>39.764705882352956</v>
      </c>
      <c r="F12" s="11">
        <f>SUM(B4:F4)+F9-F11</f>
        <v>34.352941176470608</v>
      </c>
      <c r="G12" s="11">
        <f>SUM(B4:G4)+G9-G11</f>
        <v>28.94117647058825</v>
      </c>
      <c r="H12" s="11">
        <f>SUM(B4:H4)+H9-H11</f>
        <v>23.529411764705895</v>
      </c>
      <c r="I12" s="11">
        <f>SUM(B4:I4)+I9-I11</f>
        <v>23.529411764705895</v>
      </c>
      <c r="J12" s="11">
        <f>SUM(B4:J4)+J9-J11</f>
        <v>23.529411764705895</v>
      </c>
      <c r="K12" s="11">
        <f>SUM(B4:K4)+K9-K11</f>
        <v>23.529411764705895</v>
      </c>
      <c r="L12" s="11">
        <f>SUM(B4:L4)+L9-L11</f>
        <v>23.529411764705895</v>
      </c>
      <c r="M12" s="11">
        <f>SUM(B4:M4)+M9-M11</f>
        <v>23.529411764705895</v>
      </c>
      <c r="N12" s="11">
        <f>SUM(B4:N4)+N9-N11</f>
        <v>23.529411764705895</v>
      </c>
      <c r="O12" s="11">
        <f>SUM(B4:O4)+O9-O11</f>
        <v>23.529411764705895</v>
      </c>
      <c r="P12" s="11">
        <f>SUM(B4:P4)+P9-P11</f>
        <v>23.529411764705895</v>
      </c>
      <c r="Q12" s="11">
        <f>SUM(B4:Q4)+Q9-Q11</f>
        <v>23.529411764705895</v>
      </c>
      <c r="R12" s="11">
        <f>SUM(B4:R4)+R9-R11</f>
        <v>23.529411764705895</v>
      </c>
    </row>
    <row r="13" spans="1:18" ht="15" customHeight="1" x14ac:dyDescent="0.3">
      <c r="A13" s="16" t="s">
        <v>139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ht="15" customHeight="1" x14ac:dyDescent="0.3">
      <c r="A14" s="5" t="s">
        <v>140</v>
      </c>
      <c r="B14" s="13">
        <f>Financing!B11</f>
        <v>2.8164705882352954</v>
      </c>
      <c r="C14" s="13">
        <f>Financing!C11</f>
        <v>3.4827882352941191</v>
      </c>
      <c r="D14" s="13">
        <f>Financing!D11</f>
        <v>0</v>
      </c>
      <c r="E14" s="13">
        <f>Financing!E11</f>
        <v>0</v>
      </c>
      <c r="F14" s="13">
        <f>Financing!F11</f>
        <v>0</v>
      </c>
      <c r="G14" s="13">
        <f>Financing!G11</f>
        <v>0</v>
      </c>
      <c r="H14" s="13">
        <f>Financing!H11</f>
        <v>0</v>
      </c>
      <c r="I14" s="13">
        <f>Financing!I11</f>
        <v>0</v>
      </c>
      <c r="J14" s="13">
        <f>Financing!J11</f>
        <v>0</v>
      </c>
      <c r="K14" s="13">
        <f>Financing!K11</f>
        <v>0</v>
      </c>
      <c r="L14" s="13">
        <f>Financing!L11</f>
        <v>0</v>
      </c>
      <c r="M14" s="13">
        <f>Financing!M11</f>
        <v>0</v>
      </c>
      <c r="N14" s="13">
        <f>Financing!N11</f>
        <v>0</v>
      </c>
      <c r="O14" s="13">
        <f>Financing!O11</f>
        <v>0</v>
      </c>
      <c r="P14" s="13">
        <f>Financing!P11</f>
        <v>0</v>
      </c>
      <c r="Q14" s="13">
        <f>Financing!Q11</f>
        <v>0</v>
      </c>
      <c r="R14" s="13">
        <f>Financing!R11</f>
        <v>0</v>
      </c>
    </row>
    <row r="15" spans="1:18" ht="15" customHeight="1" x14ac:dyDescent="0.3">
      <c r="A15" s="5" t="s">
        <v>141</v>
      </c>
      <c r="B15" s="11">
        <f>B14</f>
        <v>2.8164705882352954</v>
      </c>
      <c r="C15" s="11">
        <f t="shared" ref="C15:R15" si="3">B15+C14</f>
        <v>6.2992588235294145</v>
      </c>
      <c r="D15" s="11">
        <f t="shared" si="3"/>
        <v>6.2992588235294145</v>
      </c>
      <c r="E15" s="11">
        <f t="shared" si="3"/>
        <v>6.2992588235294145</v>
      </c>
      <c r="F15" s="11">
        <f t="shared" si="3"/>
        <v>6.2992588235294145</v>
      </c>
      <c r="G15" s="11">
        <f t="shared" si="3"/>
        <v>6.2992588235294145</v>
      </c>
      <c r="H15" s="11">
        <f t="shared" si="3"/>
        <v>6.2992588235294145</v>
      </c>
      <c r="I15" s="11">
        <f t="shared" si="3"/>
        <v>6.2992588235294145</v>
      </c>
      <c r="J15" s="11">
        <f t="shared" si="3"/>
        <v>6.2992588235294145</v>
      </c>
      <c r="K15" s="11">
        <f t="shared" si="3"/>
        <v>6.2992588235294145</v>
      </c>
      <c r="L15" s="11">
        <f t="shared" si="3"/>
        <v>6.2992588235294145</v>
      </c>
      <c r="M15" s="11">
        <f t="shared" si="3"/>
        <v>6.2992588235294145</v>
      </c>
      <c r="N15" s="11">
        <f t="shared" si="3"/>
        <v>6.2992588235294145</v>
      </c>
      <c r="O15" s="11">
        <f t="shared" si="3"/>
        <v>6.2992588235294145</v>
      </c>
      <c r="P15" s="11">
        <f t="shared" si="3"/>
        <v>6.2992588235294145</v>
      </c>
      <c r="Q15" s="11">
        <f t="shared" si="3"/>
        <v>6.2992588235294145</v>
      </c>
      <c r="R15" s="11">
        <f t="shared" si="3"/>
        <v>6.2992588235294145</v>
      </c>
    </row>
    <row r="16" spans="1:18" ht="15" customHeight="1" x14ac:dyDescent="0.3">
      <c r="A16" s="5" t="s">
        <v>142</v>
      </c>
      <c r="B16" s="11">
        <f>IF(AND(Timeline!B8=1,Timeline!B6&lt;=Assumptions!$B$53),C15/Assumptions!$B$53,0)</f>
        <v>0</v>
      </c>
      <c r="C16" s="11">
        <f>IF(AND(Timeline!C8=1,Timeline!C6&lt;=Assumptions!$B$53),C15/Assumptions!$B$53,0)</f>
        <v>0</v>
      </c>
      <c r="D16" s="11">
        <f>IF(AND(Timeline!D8=1,Timeline!D6&lt;=Assumptions!$B$53),C15/Assumptions!$B$53,0)</f>
        <v>1.2598517647058829</v>
      </c>
      <c r="E16" s="11">
        <f>IF(AND(Timeline!E8=1,Timeline!E6&lt;=Assumptions!$B$53),C15/Assumptions!$B$53,0)</f>
        <v>1.2598517647058829</v>
      </c>
      <c r="F16" s="11">
        <f>IF(AND(Timeline!F8=1,Timeline!F6&lt;=Assumptions!$B$53),C15/Assumptions!$B$53,0)</f>
        <v>1.2598517647058829</v>
      </c>
      <c r="G16" s="11">
        <f>IF(AND(Timeline!G8=1,Timeline!G6&lt;=Assumptions!$B$53),C15/Assumptions!$B$53,0)</f>
        <v>1.2598517647058829</v>
      </c>
      <c r="H16" s="11">
        <f>IF(AND(Timeline!H8=1,Timeline!H6&lt;=Assumptions!$B$53),C15/Assumptions!$B$53,0)</f>
        <v>1.2598517647058829</v>
      </c>
      <c r="I16" s="11">
        <f>IF(AND(Timeline!I8=1,Timeline!I6&lt;=Assumptions!$B$53),C15/Assumptions!$B$53,0)</f>
        <v>0</v>
      </c>
      <c r="J16" s="11">
        <f>IF(AND(Timeline!J8=1,Timeline!J6&lt;=Assumptions!$B$53),C15/Assumptions!$B$53,0)</f>
        <v>0</v>
      </c>
      <c r="K16" s="11">
        <f>IF(AND(Timeline!K8=1,Timeline!K6&lt;=Assumptions!$B$53),C15/Assumptions!$B$53,0)</f>
        <v>0</v>
      </c>
      <c r="L16" s="11">
        <f>IF(AND(Timeline!L8=1,Timeline!L6&lt;=Assumptions!$B$53),C15/Assumptions!$B$53,0)</f>
        <v>0</v>
      </c>
      <c r="M16" s="11">
        <f>IF(AND(Timeline!M8=1,Timeline!M6&lt;=Assumptions!$B$53),C15/Assumptions!$B$53,0)</f>
        <v>0</v>
      </c>
      <c r="N16" s="11">
        <f>IF(AND(Timeline!N8=1,Timeline!N6&lt;=Assumptions!$B$53),C15/Assumptions!$B$53,0)</f>
        <v>0</v>
      </c>
      <c r="O16" s="11">
        <f>IF(AND(Timeline!O8=1,Timeline!O6&lt;=Assumptions!$B$53),C15/Assumptions!$B$53,0)</f>
        <v>0</v>
      </c>
      <c r="P16" s="11">
        <f>IF(AND(Timeline!P8=1,Timeline!P6&lt;=Assumptions!$B$53),C15/Assumptions!$B$53,0)</f>
        <v>0</v>
      </c>
      <c r="Q16" s="11">
        <f>IF(AND(Timeline!Q8=1,Timeline!Q6&lt;=Assumptions!$B$53),C15/Assumptions!$B$53,0)</f>
        <v>0</v>
      </c>
      <c r="R16" s="11">
        <f>IF(AND(Timeline!R8=1,Timeline!R6&lt;=Assumptions!$B$53),C15/Assumptions!$B$53,0)</f>
        <v>0</v>
      </c>
    </row>
    <row r="17" spans="1:18" ht="15" customHeight="1" x14ac:dyDescent="0.3">
      <c r="A17" s="5" t="s">
        <v>143</v>
      </c>
      <c r="B17" s="11">
        <f>B16</f>
        <v>0</v>
      </c>
      <c r="C17" s="11">
        <f t="shared" ref="C17:R17" si="4">B17+C16</f>
        <v>0</v>
      </c>
      <c r="D17" s="11">
        <f t="shared" si="4"/>
        <v>1.2598517647058829</v>
      </c>
      <c r="E17" s="11">
        <f t="shared" si="4"/>
        <v>2.5197035294117658</v>
      </c>
      <c r="F17" s="11">
        <f t="shared" si="4"/>
        <v>3.7795552941176487</v>
      </c>
      <c r="G17" s="11">
        <f t="shared" si="4"/>
        <v>5.0394070588235316</v>
      </c>
      <c r="H17" s="11">
        <f t="shared" si="4"/>
        <v>6.2992588235294145</v>
      </c>
      <c r="I17" s="11">
        <f t="shared" si="4"/>
        <v>6.2992588235294145</v>
      </c>
      <c r="J17" s="11">
        <f t="shared" si="4"/>
        <v>6.2992588235294145</v>
      </c>
      <c r="K17" s="11">
        <f t="shared" si="4"/>
        <v>6.2992588235294145</v>
      </c>
      <c r="L17" s="11">
        <f t="shared" si="4"/>
        <v>6.2992588235294145</v>
      </c>
      <c r="M17" s="11">
        <f t="shared" si="4"/>
        <v>6.2992588235294145</v>
      </c>
      <c r="N17" s="11">
        <f t="shared" si="4"/>
        <v>6.2992588235294145</v>
      </c>
      <c r="O17" s="11">
        <f t="shared" si="4"/>
        <v>6.2992588235294145</v>
      </c>
      <c r="P17" s="11">
        <f t="shared" si="4"/>
        <v>6.2992588235294145</v>
      </c>
      <c r="Q17" s="11">
        <f t="shared" si="4"/>
        <v>6.2992588235294145</v>
      </c>
      <c r="R17" s="11">
        <f t="shared" si="4"/>
        <v>6.2992588235294145</v>
      </c>
    </row>
    <row r="18" spans="1:18" ht="15" customHeight="1" x14ac:dyDescent="0.3">
      <c r="A18" s="5" t="s">
        <v>144</v>
      </c>
      <c r="B18" s="11">
        <f t="shared" ref="B18:R18" si="5">B10+B16</f>
        <v>0</v>
      </c>
      <c r="C18" s="11">
        <f t="shared" si="5"/>
        <v>0</v>
      </c>
      <c r="D18" s="11">
        <f t="shared" si="5"/>
        <v>6.671616470588237</v>
      </c>
      <c r="E18" s="11">
        <f t="shared" si="5"/>
        <v>6.671616470588237</v>
      </c>
      <c r="F18" s="11">
        <f t="shared" si="5"/>
        <v>6.671616470588237</v>
      </c>
      <c r="G18" s="11">
        <f t="shared" si="5"/>
        <v>6.671616470588237</v>
      </c>
      <c r="H18" s="11">
        <f t="shared" si="5"/>
        <v>6.671616470588237</v>
      </c>
      <c r="I18" s="11">
        <f t="shared" si="5"/>
        <v>0</v>
      </c>
      <c r="J18" s="11">
        <f t="shared" si="5"/>
        <v>0</v>
      </c>
      <c r="K18" s="11">
        <f t="shared" si="5"/>
        <v>0</v>
      </c>
      <c r="L18" s="11">
        <f t="shared" si="5"/>
        <v>0</v>
      </c>
      <c r="M18" s="11">
        <f t="shared" si="5"/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 t="shared" si="5"/>
        <v>0</v>
      </c>
    </row>
    <row r="19" spans="1:18" ht="15" customHeight="1" x14ac:dyDescent="0.3">
      <c r="A19" s="5" t="s">
        <v>145</v>
      </c>
      <c r="B19" s="11">
        <f>SUM(B4:B4)+B9+B15-B11-B17</f>
        <v>47.5223529411765</v>
      </c>
      <c r="C19" s="11">
        <f>SUM(B4:C4)+C9+C15-C11-C17</f>
        <v>56.88749411764708</v>
      </c>
      <c r="D19" s="11">
        <f>SUM(B4:D4)+D9+D15-D11-D17</f>
        <v>50.215877647058839</v>
      </c>
      <c r="E19" s="11">
        <f>SUM(B4:E4)+E9+E15-E11-E17</f>
        <v>43.544261176470606</v>
      </c>
      <c r="F19" s="11">
        <f>SUM(B4:F4)+F9+F15-F11-F17</f>
        <v>36.872644705882372</v>
      </c>
      <c r="G19" s="11">
        <f>SUM(B4:G4)+G9+G15-G11-G17</f>
        <v>30.201028235294128</v>
      </c>
      <c r="H19" s="11">
        <f>SUM(B4:H4)+H9+H15-H11-H17</f>
        <v>23.529411764705895</v>
      </c>
      <c r="I19" s="11">
        <f>SUM(B4:I4)+I9+I15-I11-I17</f>
        <v>23.529411764705895</v>
      </c>
      <c r="J19" s="11">
        <f>SUM(B4:J4)+J9+J15-J11-J17</f>
        <v>23.529411764705895</v>
      </c>
      <c r="K19" s="11">
        <f>SUM(B4:K4)+K9+K15-K11-K17</f>
        <v>23.529411764705895</v>
      </c>
      <c r="L19" s="11">
        <f>SUM(B4:L4)+L9+L15-L11-L17</f>
        <v>23.529411764705895</v>
      </c>
      <c r="M19" s="11">
        <f>SUM(B4:M4)+M9+M15-M11-M17</f>
        <v>23.529411764705895</v>
      </c>
      <c r="N19" s="11">
        <f>SUM(B4:N4)+N9+N15-N11-N17</f>
        <v>23.529411764705895</v>
      </c>
      <c r="O19" s="11">
        <f>SUM(B4:O4)+O9+O15-O11-O17</f>
        <v>23.529411764705895</v>
      </c>
      <c r="P19" s="11">
        <f>SUM(B4:P4)+P9+P15-P11-P17</f>
        <v>23.529411764705895</v>
      </c>
      <c r="Q19" s="11">
        <f>SUM(B4:Q4)+Q9+Q15-Q11-Q17</f>
        <v>23.529411764705895</v>
      </c>
      <c r="R19" s="11">
        <f>SUM(B4:R4)+R9+R15-R11-R17</f>
        <v>23.529411764705895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1F4E79"/>
  </sheetPr>
  <dimension ref="A1:R25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8.6640625" defaultRowHeight="14.4" x14ac:dyDescent="0.3"/>
  <cols>
    <col min="1" max="1" width="35" customWidth="1"/>
    <col min="2" max="18" width="16" customWidth="1"/>
  </cols>
  <sheetData>
    <row r="1" spans="1:18" ht="17.25" customHeight="1" x14ac:dyDescent="0.3">
      <c r="A1" s="3" t="s">
        <v>307</v>
      </c>
    </row>
    <row r="2" spans="1:18" ht="15" customHeight="1" x14ac:dyDescent="0.3">
      <c r="A2" s="4"/>
      <c r="B2" s="4" t="s">
        <v>74</v>
      </c>
      <c r="C2" s="4" t="s">
        <v>75</v>
      </c>
      <c r="D2" s="4" t="s">
        <v>76</v>
      </c>
      <c r="E2" s="4" t="s">
        <v>77</v>
      </c>
      <c r="F2" s="4" t="s">
        <v>78</v>
      </c>
      <c r="G2" s="4" t="s">
        <v>79</v>
      </c>
      <c r="H2" s="4" t="s">
        <v>80</v>
      </c>
      <c r="I2" s="4" t="s">
        <v>81</v>
      </c>
      <c r="J2" s="4" t="s">
        <v>82</v>
      </c>
      <c r="K2" s="4" t="s">
        <v>83</v>
      </c>
      <c r="L2" s="4" t="s">
        <v>84</v>
      </c>
      <c r="M2" s="4" t="s">
        <v>85</v>
      </c>
      <c r="N2" s="4" t="s">
        <v>86</v>
      </c>
      <c r="O2" s="4" t="s">
        <v>87</v>
      </c>
      <c r="P2" s="4" t="s">
        <v>88</v>
      </c>
      <c r="Q2" s="4" t="s">
        <v>89</v>
      </c>
      <c r="R2" s="4" t="s">
        <v>90</v>
      </c>
    </row>
    <row r="3" spans="1:18" ht="15" customHeight="1" x14ac:dyDescent="0.3">
      <c r="A3" s="7" t="s">
        <v>146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" customHeight="1" x14ac:dyDescent="0.3">
      <c r="A4" s="5" t="s">
        <v>147</v>
      </c>
      <c r="B4" s="13">
        <f>Capex_Depr!B6</f>
        <v>44.705882352941202</v>
      </c>
      <c r="C4" s="13">
        <f>Capex_Depr!C6</f>
        <v>5.8823529411764701</v>
      </c>
      <c r="D4" s="13">
        <f>Capex_Depr!D6</f>
        <v>0</v>
      </c>
      <c r="E4" s="13">
        <f>Capex_Depr!E6</f>
        <v>0</v>
      </c>
      <c r="F4" s="13">
        <f>Capex_Depr!F6</f>
        <v>0</v>
      </c>
      <c r="G4" s="13">
        <f>Capex_Depr!G6</f>
        <v>0</v>
      </c>
      <c r="H4" s="13">
        <f>Capex_Depr!H6</f>
        <v>0</v>
      </c>
      <c r="I4" s="13">
        <f>Capex_Depr!I6</f>
        <v>0</v>
      </c>
      <c r="J4" s="13">
        <f>Capex_Depr!J6</f>
        <v>0</v>
      </c>
      <c r="K4" s="13">
        <f>Capex_Depr!K6</f>
        <v>0</v>
      </c>
      <c r="L4" s="13">
        <f>Capex_Depr!L6</f>
        <v>0</v>
      </c>
      <c r="M4" s="13">
        <f>Capex_Depr!M6</f>
        <v>0</v>
      </c>
      <c r="N4" s="13">
        <f>Capex_Depr!N6</f>
        <v>0</v>
      </c>
      <c r="O4" s="13">
        <f>Capex_Depr!O6</f>
        <v>0</v>
      </c>
      <c r="P4" s="13">
        <f>Capex_Depr!P6</f>
        <v>0</v>
      </c>
      <c r="Q4" s="13">
        <f>Capex_Depr!Q6</f>
        <v>0</v>
      </c>
      <c r="R4" s="13">
        <f>Capex_Depr!R6</f>
        <v>0</v>
      </c>
    </row>
    <row r="5" spans="1:18" ht="15" customHeight="1" x14ac:dyDescent="0.3">
      <c r="A5" s="5" t="s">
        <v>148</v>
      </c>
      <c r="B5" s="11">
        <f>B4*Assumptions!$B$56</f>
        <v>26.823529411764721</v>
      </c>
      <c r="C5" s="11">
        <f>C4*Assumptions!$B$56</f>
        <v>3.5294117647058818</v>
      </c>
      <c r="D5" s="11">
        <f>D4*Assumptions!$B$56</f>
        <v>0</v>
      </c>
      <c r="E5" s="11">
        <f>E4*Assumptions!$B$56</f>
        <v>0</v>
      </c>
      <c r="F5" s="11">
        <f>F4*Assumptions!$B$56</f>
        <v>0</v>
      </c>
      <c r="G5" s="11">
        <f>G4*Assumptions!$B$56</f>
        <v>0</v>
      </c>
      <c r="H5" s="11">
        <f>H4*Assumptions!$B$56</f>
        <v>0</v>
      </c>
      <c r="I5" s="11">
        <f>I4*Assumptions!$B$56</f>
        <v>0</v>
      </c>
      <c r="J5" s="11">
        <f>J4*Assumptions!$B$56</f>
        <v>0</v>
      </c>
      <c r="K5" s="11">
        <f>K4*Assumptions!$B$56</f>
        <v>0</v>
      </c>
      <c r="L5" s="11">
        <f>L4*Assumptions!$B$56</f>
        <v>0</v>
      </c>
      <c r="M5" s="11">
        <f>M4*Assumptions!$B$56</f>
        <v>0</v>
      </c>
      <c r="N5" s="11">
        <f>N4*Assumptions!$B$56</f>
        <v>0</v>
      </c>
      <c r="O5" s="11">
        <f>O4*Assumptions!$B$56</f>
        <v>0</v>
      </c>
      <c r="P5" s="11">
        <f>P4*Assumptions!$B$56</f>
        <v>0</v>
      </c>
      <c r="Q5" s="11">
        <f>Q4*Assumptions!$B$56</f>
        <v>0</v>
      </c>
      <c r="R5" s="11">
        <f>R4*Assumptions!$B$56</f>
        <v>0</v>
      </c>
    </row>
    <row r="6" spans="1:18" ht="15" customHeight="1" x14ac:dyDescent="0.3">
      <c r="A6" s="5" t="s">
        <v>149</v>
      </c>
      <c r="B6" s="11">
        <f>B4*Assumptions!$B$57</f>
        <v>17.882352941176482</v>
      </c>
      <c r="C6" s="11">
        <f>C4*Assumptions!$B$57</f>
        <v>2.3529411764705883</v>
      </c>
      <c r="D6" s="11">
        <f>D4*Assumptions!$B$57</f>
        <v>0</v>
      </c>
      <c r="E6" s="11">
        <f>E4*Assumptions!$B$57</f>
        <v>0</v>
      </c>
      <c r="F6" s="11">
        <f>F4*Assumptions!$B$57</f>
        <v>0</v>
      </c>
      <c r="G6" s="11">
        <f>G4*Assumptions!$B$57</f>
        <v>0</v>
      </c>
      <c r="H6" s="11">
        <f>H4*Assumptions!$B$57</f>
        <v>0</v>
      </c>
      <c r="I6" s="11">
        <f>I4*Assumptions!$B$57</f>
        <v>0</v>
      </c>
      <c r="J6" s="11">
        <f>J4*Assumptions!$B$57</f>
        <v>0</v>
      </c>
      <c r="K6" s="11">
        <f>K4*Assumptions!$B$57</f>
        <v>0</v>
      </c>
      <c r="L6" s="11">
        <f>L4*Assumptions!$B$57</f>
        <v>0</v>
      </c>
      <c r="M6" s="11">
        <f>M4*Assumptions!$B$57</f>
        <v>0</v>
      </c>
      <c r="N6" s="11">
        <f>N4*Assumptions!$B$57</f>
        <v>0</v>
      </c>
      <c r="O6" s="11">
        <f>O4*Assumptions!$B$57</f>
        <v>0</v>
      </c>
      <c r="P6" s="11">
        <f>P4*Assumptions!$B$57</f>
        <v>0</v>
      </c>
      <c r="Q6" s="11">
        <f>Q4*Assumptions!$B$57</f>
        <v>0</v>
      </c>
      <c r="R6" s="11">
        <f>R4*Assumptions!$B$57</f>
        <v>0</v>
      </c>
    </row>
    <row r="8" spans="1:18" ht="15" customHeight="1" x14ac:dyDescent="0.3">
      <c r="A8" s="7" t="s">
        <v>150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" customHeight="1" x14ac:dyDescent="0.3">
      <c r="A9" s="5" t="s">
        <v>151</v>
      </c>
      <c r="B9" s="11">
        <f>0</f>
        <v>0</v>
      </c>
      <c r="C9" s="11">
        <f t="shared" ref="C9:R9" si="0">B13</f>
        <v>29.640000000000015</v>
      </c>
      <c r="D9" s="11">
        <f t="shared" si="0"/>
        <v>36.652200000000015</v>
      </c>
      <c r="E9" s="11">
        <f t="shared" si="0"/>
        <v>27.108991882352999</v>
      </c>
      <c r="F9" s="11">
        <f t="shared" si="0"/>
        <v>16.427811925098155</v>
      </c>
      <c r="G9" s="11">
        <f t="shared" si="0"/>
        <v>0</v>
      </c>
      <c r="H9" s="11">
        <f t="shared" si="0"/>
        <v>0</v>
      </c>
      <c r="I9" s="11">
        <f t="shared" si="0"/>
        <v>0</v>
      </c>
      <c r="J9" s="11">
        <f t="shared" si="0"/>
        <v>0</v>
      </c>
      <c r="K9" s="11">
        <f t="shared" si="0"/>
        <v>0</v>
      </c>
      <c r="L9" s="11">
        <f t="shared" si="0"/>
        <v>0</v>
      </c>
      <c r="M9" s="11">
        <f t="shared" si="0"/>
        <v>0</v>
      </c>
      <c r="N9" s="11">
        <f t="shared" si="0"/>
        <v>0</v>
      </c>
      <c r="O9" s="11">
        <f t="shared" si="0"/>
        <v>0</v>
      </c>
      <c r="P9" s="11">
        <f t="shared" si="0"/>
        <v>0</v>
      </c>
      <c r="Q9" s="11">
        <f t="shared" si="0"/>
        <v>0</v>
      </c>
      <c r="R9" s="11">
        <f t="shared" si="0"/>
        <v>0</v>
      </c>
    </row>
    <row r="10" spans="1:18" ht="15" customHeight="1" x14ac:dyDescent="0.3">
      <c r="A10" s="5" t="s">
        <v>152</v>
      </c>
      <c r="B10" s="11">
        <f t="shared" ref="B10:R10" si="1">B5</f>
        <v>26.823529411764721</v>
      </c>
      <c r="C10" s="11">
        <f t="shared" si="1"/>
        <v>3.5294117647058818</v>
      </c>
      <c r="D10" s="11">
        <f t="shared" si="1"/>
        <v>0</v>
      </c>
      <c r="E10" s="11">
        <f t="shared" si="1"/>
        <v>0</v>
      </c>
      <c r="F10" s="11">
        <f t="shared" si="1"/>
        <v>0</v>
      </c>
      <c r="G10" s="11">
        <f t="shared" si="1"/>
        <v>0</v>
      </c>
      <c r="H10" s="11">
        <f t="shared" si="1"/>
        <v>0</v>
      </c>
      <c r="I10" s="11">
        <f t="shared" si="1"/>
        <v>0</v>
      </c>
      <c r="J10" s="11">
        <f t="shared" si="1"/>
        <v>0</v>
      </c>
      <c r="K10" s="11">
        <f t="shared" si="1"/>
        <v>0</v>
      </c>
      <c r="L10" s="11">
        <f t="shared" si="1"/>
        <v>0</v>
      </c>
      <c r="M10" s="11">
        <f t="shared" si="1"/>
        <v>0</v>
      </c>
      <c r="N10" s="11">
        <f t="shared" si="1"/>
        <v>0</v>
      </c>
      <c r="O10" s="11">
        <f t="shared" si="1"/>
        <v>0</v>
      </c>
      <c r="P10" s="11">
        <f t="shared" si="1"/>
        <v>0</v>
      </c>
      <c r="Q10" s="11">
        <f t="shared" si="1"/>
        <v>0</v>
      </c>
      <c r="R10" s="11">
        <f t="shared" si="1"/>
        <v>0</v>
      </c>
    </row>
    <row r="11" spans="1:18" ht="15" customHeight="1" x14ac:dyDescent="0.3">
      <c r="A11" s="5" t="s">
        <v>153</v>
      </c>
      <c r="B11" s="13">
        <f>IF(Timeline!B7=1,(B9+B10)*Assumptions!$B$58,0)</f>
        <v>2.8164705882352954</v>
      </c>
      <c r="C11" s="13">
        <f>IF(Timeline!C7=1,(C9+C10)*Assumptions!$B$58,0)</f>
        <v>3.4827882352941191</v>
      </c>
      <c r="D11" s="13">
        <f>IF(Timeline!D7=1,(D9+D10)*Assumptions!$B$58,0)</f>
        <v>0</v>
      </c>
      <c r="E11" s="13">
        <f>IF(Timeline!E7=1,(E9+E10)*Assumptions!$B$58,0)</f>
        <v>0</v>
      </c>
      <c r="F11" s="13">
        <f>IF(Timeline!F7=1,(F9+F10)*Assumptions!$B$58,0)</f>
        <v>0</v>
      </c>
      <c r="G11" s="13">
        <f>IF(Timeline!G7=1,(G9+G10)*Assumptions!$B$58,0)</f>
        <v>0</v>
      </c>
      <c r="H11" s="13">
        <f>IF(Timeline!H7=1,(H9+H10)*Assumptions!$B$58,0)</f>
        <v>0</v>
      </c>
      <c r="I11" s="13">
        <f>IF(Timeline!I7=1,(I9+I10)*Assumptions!$B$58,0)</f>
        <v>0</v>
      </c>
      <c r="J11" s="13">
        <f>IF(Timeline!J7=1,(J9+J10)*Assumptions!$B$58,0)</f>
        <v>0</v>
      </c>
      <c r="K11" s="13">
        <f>IF(Timeline!K7=1,(K9+K10)*Assumptions!$B$58,0)</f>
        <v>0</v>
      </c>
      <c r="L11" s="13">
        <f>IF(Timeline!L7=1,(L9+L10)*Assumptions!$B$58,0)</f>
        <v>0</v>
      </c>
      <c r="M11" s="13">
        <f>IF(Timeline!M7=1,(M9+M10)*Assumptions!$B$58,0)</f>
        <v>0</v>
      </c>
      <c r="N11" s="13">
        <f>IF(Timeline!N7=1,(N9+N10)*Assumptions!$B$58,0)</f>
        <v>0</v>
      </c>
      <c r="O11" s="13">
        <f>IF(Timeline!O7=1,(O9+O10)*Assumptions!$B$58,0)</f>
        <v>0</v>
      </c>
      <c r="P11" s="13">
        <f>IF(Timeline!P7=1,(P9+P10)*Assumptions!$B$58,0)</f>
        <v>0</v>
      </c>
      <c r="Q11" s="13">
        <f>IF(Timeline!Q7=1,(Q9+Q10)*Assumptions!$B$58,0)</f>
        <v>0</v>
      </c>
      <c r="R11" s="13">
        <f>IF(Timeline!R7=1,(R9+R10)*Assumptions!$B$58,0)</f>
        <v>0</v>
      </c>
    </row>
    <row r="12" spans="1:18" ht="15" customHeight="1" x14ac:dyDescent="0.3">
      <c r="A12" s="5" t="s">
        <v>154</v>
      </c>
      <c r="B12" s="11">
        <f t="shared" ref="B12:R12" si="2">B24</f>
        <v>0</v>
      </c>
      <c r="C12" s="11">
        <f t="shared" si="2"/>
        <v>0</v>
      </c>
      <c r="D12" s="11">
        <f t="shared" si="2"/>
        <v>9.5432081176470156</v>
      </c>
      <c r="E12" s="11">
        <f t="shared" si="2"/>
        <v>10.681179957254843</v>
      </c>
      <c r="F12" s="11">
        <f t="shared" si="2"/>
        <v>16.427811925098155</v>
      </c>
      <c r="G12" s="11">
        <f t="shared" si="2"/>
        <v>0</v>
      </c>
      <c r="H12" s="11">
        <f t="shared" si="2"/>
        <v>0</v>
      </c>
      <c r="I12" s="11">
        <f t="shared" si="2"/>
        <v>0</v>
      </c>
      <c r="J12" s="11">
        <f t="shared" si="2"/>
        <v>0</v>
      </c>
      <c r="K12" s="11">
        <f t="shared" si="2"/>
        <v>0</v>
      </c>
      <c r="L12" s="11">
        <f t="shared" si="2"/>
        <v>0</v>
      </c>
      <c r="M12" s="11">
        <f t="shared" si="2"/>
        <v>0</v>
      </c>
      <c r="N12" s="11">
        <f t="shared" si="2"/>
        <v>0</v>
      </c>
      <c r="O12" s="11">
        <f t="shared" si="2"/>
        <v>0</v>
      </c>
      <c r="P12" s="11">
        <f t="shared" si="2"/>
        <v>0</v>
      </c>
      <c r="Q12" s="11">
        <f t="shared" si="2"/>
        <v>0</v>
      </c>
      <c r="R12" s="11">
        <f t="shared" si="2"/>
        <v>0</v>
      </c>
    </row>
    <row r="13" spans="1:18" ht="15" customHeight="1" x14ac:dyDescent="0.3">
      <c r="A13" s="5" t="s">
        <v>155</v>
      </c>
      <c r="B13" s="11">
        <f t="shared" ref="B13:R13" si="3">B9+B10+B11-B12</f>
        <v>29.640000000000015</v>
      </c>
      <c r="C13" s="11">
        <f t="shared" si="3"/>
        <v>36.652200000000015</v>
      </c>
      <c r="D13" s="11">
        <f t="shared" si="3"/>
        <v>27.108991882352999</v>
      </c>
      <c r="E13" s="11">
        <f t="shared" si="3"/>
        <v>16.427811925098155</v>
      </c>
      <c r="F13" s="11">
        <f t="shared" si="3"/>
        <v>0</v>
      </c>
      <c r="G13" s="11">
        <f t="shared" si="3"/>
        <v>0</v>
      </c>
      <c r="H13" s="11">
        <f t="shared" si="3"/>
        <v>0</v>
      </c>
      <c r="I13" s="11">
        <f t="shared" si="3"/>
        <v>0</v>
      </c>
      <c r="J13" s="11">
        <f t="shared" si="3"/>
        <v>0</v>
      </c>
      <c r="K13" s="11">
        <f t="shared" si="3"/>
        <v>0</v>
      </c>
      <c r="L13" s="11">
        <f t="shared" si="3"/>
        <v>0</v>
      </c>
      <c r="M13" s="11">
        <f t="shared" si="3"/>
        <v>0</v>
      </c>
      <c r="N13" s="11">
        <f t="shared" si="3"/>
        <v>0</v>
      </c>
      <c r="O13" s="11">
        <f t="shared" si="3"/>
        <v>0</v>
      </c>
      <c r="P13" s="11">
        <f t="shared" si="3"/>
        <v>0</v>
      </c>
      <c r="Q13" s="11">
        <f t="shared" si="3"/>
        <v>0</v>
      </c>
      <c r="R13" s="11">
        <f t="shared" si="3"/>
        <v>0</v>
      </c>
    </row>
    <row r="15" spans="1:18" ht="15" customHeight="1" x14ac:dyDescent="0.3">
      <c r="A15" s="7" t="s">
        <v>156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5" customHeight="1" x14ac:dyDescent="0.3">
      <c r="A16" s="5" t="s">
        <v>157</v>
      </c>
      <c r="B16" s="13">
        <f>IF(Timeline!B8=1,B9*Assumptions!$B$59,0)</f>
        <v>0</v>
      </c>
      <c r="C16" s="13">
        <f>IF(Timeline!C8=1,C9*Assumptions!$B$59,0)</f>
        <v>0</v>
      </c>
      <c r="D16" s="13">
        <f>IF(Timeline!D8=1,D9*Assumptions!$B$59,0)</f>
        <v>4.7647860000000017</v>
      </c>
      <c r="E16" s="13">
        <f>IF(Timeline!E8=1,E9*Assumptions!$B$59,0)</f>
        <v>3.5241689447058899</v>
      </c>
      <c r="F16" s="13">
        <f>IF(Timeline!F8=1,F9*Assumptions!$B$59,0)</f>
        <v>2.1356155502627603</v>
      </c>
      <c r="G16" s="13">
        <f>IF(Timeline!G8=1,G9*Assumptions!$B$59,0)</f>
        <v>0</v>
      </c>
      <c r="H16" s="13">
        <f>IF(Timeline!H8=1,H9*Assumptions!$B$59,0)</f>
        <v>0</v>
      </c>
      <c r="I16" s="13">
        <f>IF(Timeline!I8=1,I9*Assumptions!$B$59,0)</f>
        <v>0</v>
      </c>
      <c r="J16" s="13">
        <f>IF(Timeline!J8=1,J9*Assumptions!$B$59,0)</f>
        <v>0</v>
      </c>
      <c r="K16" s="13">
        <f>IF(Timeline!K8=1,K9*Assumptions!$B$59,0)</f>
        <v>0</v>
      </c>
      <c r="L16" s="13">
        <f>IF(Timeline!L8=1,L9*Assumptions!$B$59,0)</f>
        <v>0</v>
      </c>
      <c r="M16" s="13">
        <f>IF(Timeline!M8=1,M9*Assumptions!$B$59,0)</f>
        <v>0</v>
      </c>
      <c r="N16" s="13">
        <f>IF(Timeline!N8=1,N9*Assumptions!$B$59,0)</f>
        <v>0</v>
      </c>
      <c r="O16" s="13">
        <f>IF(Timeline!O8=1,O9*Assumptions!$B$59,0)</f>
        <v>0</v>
      </c>
      <c r="P16" s="13">
        <f>IF(Timeline!P8=1,P9*Assumptions!$B$59,0)</f>
        <v>0</v>
      </c>
      <c r="Q16" s="13">
        <f>IF(Timeline!Q8=1,Q9*Assumptions!$B$59,0)</f>
        <v>0</v>
      </c>
      <c r="R16" s="13">
        <f>IF(Timeline!R8=1,R9*Assumptions!$B$59,0)</f>
        <v>0</v>
      </c>
    </row>
    <row r="17" spans="1:18" ht="15" customHeight="1" x14ac:dyDescent="0.3">
      <c r="A17" s="5" t="s">
        <v>158</v>
      </c>
      <c r="B17" s="2">
        <f t="shared" ref="B17:R17" si="4">IF(B25&gt;0,B20/B25,0)</f>
        <v>0</v>
      </c>
      <c r="C17" s="2">
        <f t="shared" si="4"/>
        <v>0</v>
      </c>
      <c r="D17" s="2">
        <f t="shared" si="4"/>
        <v>1.2</v>
      </c>
      <c r="E17" s="2">
        <f t="shared" si="4"/>
        <v>1.2</v>
      </c>
      <c r="F17" s="2">
        <f t="shared" si="4"/>
        <v>1.7750062868291965</v>
      </c>
      <c r="G17" s="2">
        <f t="shared" si="4"/>
        <v>0</v>
      </c>
      <c r="H17" s="2">
        <f t="shared" si="4"/>
        <v>0</v>
      </c>
      <c r="I17" s="2">
        <f t="shared" si="4"/>
        <v>0</v>
      </c>
      <c r="J17" s="2">
        <f t="shared" si="4"/>
        <v>0</v>
      </c>
      <c r="K17" s="2">
        <f t="shared" si="4"/>
        <v>0</v>
      </c>
      <c r="L17" s="2">
        <f t="shared" si="4"/>
        <v>0</v>
      </c>
      <c r="M17" s="2">
        <f t="shared" si="4"/>
        <v>0</v>
      </c>
      <c r="N17" s="2">
        <f t="shared" si="4"/>
        <v>0</v>
      </c>
      <c r="O17" s="2">
        <f t="shared" si="4"/>
        <v>0</v>
      </c>
      <c r="P17" s="2">
        <f t="shared" si="4"/>
        <v>0</v>
      </c>
      <c r="Q17" s="2">
        <f t="shared" si="4"/>
        <v>0</v>
      </c>
      <c r="R17" s="2">
        <f t="shared" si="4"/>
        <v>0</v>
      </c>
    </row>
    <row r="19" spans="1:18" ht="15" customHeight="1" x14ac:dyDescent="0.3">
      <c r="A19" s="7" t="s">
        <v>159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5" customHeight="1" x14ac:dyDescent="0.3">
      <c r="A20" s="5" t="s">
        <v>160</v>
      </c>
      <c r="B20" s="13">
        <f>IF(Timeline!B8=1,OpEx!B30-Capex_Depr!B10*Assumptions!$B$70,0)</f>
        <v>0</v>
      </c>
      <c r="C20" s="13">
        <f>IF(Timeline!C8=1,OpEx!C30-Capex_Depr!C10*Assumptions!$B$70,0)</f>
        <v>0</v>
      </c>
      <c r="D20" s="13">
        <f>IF(Timeline!D8=1,OpEx!D30-Capex_Depr!D10*Assumptions!$B$70,0)</f>
        <v>17.169592941176418</v>
      </c>
      <c r="E20" s="13">
        <f>IF(Timeline!E8=1,OpEx!E30-Capex_Depr!E10*Assumptions!$B$70,0)</f>
        <v>17.046418682352879</v>
      </c>
      <c r="F20" s="13">
        <f>IF(Timeline!F8=1,OpEx!F30-Capex_Depr!F10*Assumptions!$B$70,0)</f>
        <v>32.950200473863461</v>
      </c>
      <c r="G20" s="13">
        <f>IF(Timeline!G8=1,OpEx!G30-Capex_Depr!G10*Assumptions!$B$70,0)</f>
        <v>33.111877255105433</v>
      </c>
      <c r="H20" s="13">
        <f>IF(Timeline!H8=1,OpEx!H30-Capex_Depr!H10*Assumptions!$B$70,0)</f>
        <v>35.094177900322919</v>
      </c>
      <c r="I20" s="13">
        <f>IF(Timeline!I8=1,OpEx!I30-Capex_Depr!I10*Assumptions!$B$70,0)</f>
        <v>36.614446036979729</v>
      </c>
      <c r="J20" s="13">
        <f>IF(Timeline!J8=1,OpEx!J30-Capex_Depr!J10*Assumptions!$B$70,0)</f>
        <v>38.722790960069162</v>
      </c>
      <c r="K20" s="13">
        <f>IF(Timeline!K8=1,OpEx!K30-Capex_Depr!K10*Assumptions!$B$70,0)</f>
        <v>38.875501521387847</v>
      </c>
      <c r="L20" s="13">
        <f>IF(Timeline!L8=1,OpEx!L30-Capex_Depr!L10*Assumptions!$B$70,0)</f>
        <v>41.117215015299308</v>
      </c>
      <c r="M20" s="13">
        <f>IF(Timeline!M8=1,OpEx!M30-Capex_Depr!M10*Assumptions!$B$70,0)</f>
        <v>41.262324421495151</v>
      </c>
      <c r="N20" s="13">
        <f>IF(Timeline!N8=1,OpEx!N30-Capex_Depr!N10*Assumptions!$B$70,0)</f>
        <v>43.64505992481034</v>
      </c>
      <c r="O20" s="13">
        <f>IF(Timeline!O8=1,OpEx!O30-Capex_Depr!O10*Assumptions!$B$70,0)</f>
        <v>43.780020086864241</v>
      </c>
      <c r="P20" s="13">
        <f>IF(Timeline!P8=1,OpEx!P30-Capex_Depr!P10*Assumptions!$B$70,0)</f>
        <v>46.311760016429105</v>
      </c>
      <c r="Q20" s="13">
        <f>IF(Timeline!Q8=1,OpEx!Q30-Capex_Depr!Q10*Assumptions!$B$70,0)</f>
        <v>46.433608300332693</v>
      </c>
      <c r="R20" s="13">
        <f>IF(Timeline!R8=1,OpEx!R30-Capex_Depr!R10*Assumptions!$B$70,0)</f>
        <v>49.122660870375995</v>
      </c>
    </row>
    <row r="21" spans="1:18" ht="15" customHeight="1" x14ac:dyDescent="0.3">
      <c r="A21" s="5" t="s">
        <v>161</v>
      </c>
      <c r="B21" s="11">
        <f>IF(AND(Timeline!B8=1,B9&gt;0),MIN(MAX(B20/Assumptions!$B$61-B16,0),B9),0)</f>
        <v>0</v>
      </c>
      <c r="C21" s="11">
        <f>IF(AND(Timeline!C8=1,C9&gt;0),MIN(MAX(C20/Assumptions!$B$61-C16,0),C9),0)</f>
        <v>0</v>
      </c>
      <c r="D21" s="11">
        <f>IF(AND(Timeline!D8=1,D9&gt;0),MIN(MAX(D20/Assumptions!$B$61-D16,0),D9),0)</f>
        <v>9.5432081176470156</v>
      </c>
      <c r="E21" s="11">
        <f>IF(AND(Timeline!E8=1,E9&gt;0),MIN(MAX(E20/Assumptions!$B$61-E16,0),E9),0)</f>
        <v>10.681179957254843</v>
      </c>
      <c r="F21" s="11">
        <f>IF(AND(Timeline!F8=1,F9&gt;0),MIN(MAX(F20/Assumptions!$B$61-F16,0),F9),0)</f>
        <v>16.427811925098155</v>
      </c>
      <c r="G21" s="11">
        <f>IF(AND(Timeline!G8=1,G9&gt;0),MIN(MAX(G20/Assumptions!$B$61-G16,0),G9),0)</f>
        <v>0</v>
      </c>
      <c r="H21" s="11">
        <f>IF(AND(Timeline!H8=1,H9&gt;0),MIN(MAX(H20/Assumptions!$B$61-H16,0),H9),0)</f>
        <v>0</v>
      </c>
      <c r="I21" s="11">
        <f>IF(AND(Timeline!I8=1,I9&gt;0),MIN(MAX(I20/Assumptions!$B$61-I16,0),I9),0)</f>
        <v>0</v>
      </c>
      <c r="J21" s="11">
        <f>IF(AND(Timeline!J8=1,J9&gt;0),MIN(MAX(J20/Assumptions!$B$61-J16,0),J9),0)</f>
        <v>0</v>
      </c>
      <c r="K21" s="11">
        <f>IF(AND(Timeline!K8=1,K9&gt;0),MIN(MAX(K20/Assumptions!$B$61-K16,0),K9),0)</f>
        <v>0</v>
      </c>
      <c r="L21" s="11">
        <f>IF(AND(Timeline!L8=1,L9&gt;0),MIN(MAX(L20/Assumptions!$B$61-L16,0),L9),0)</f>
        <v>0</v>
      </c>
      <c r="M21" s="11">
        <f>IF(AND(Timeline!M8=1,M9&gt;0),MIN(MAX(M20/Assumptions!$B$61-M16,0),M9),0)</f>
        <v>0</v>
      </c>
      <c r="N21" s="11">
        <f>IF(AND(Timeline!N8=1,N9&gt;0),MIN(MAX(N20/Assumptions!$B$61-N16,0),N9),0)</f>
        <v>0</v>
      </c>
      <c r="O21" s="11">
        <f>IF(AND(Timeline!O8=1,O9&gt;0),MIN(MAX(O20/Assumptions!$B$61-O16,0),O9),0)</f>
        <v>0</v>
      </c>
      <c r="P21" s="11">
        <f>IF(AND(Timeline!P8=1,P9&gt;0),MIN(MAX(P20/Assumptions!$B$61-P16,0),P9),0)</f>
        <v>0</v>
      </c>
      <c r="Q21" s="11">
        <f>IF(AND(Timeline!Q8=1,Q9&gt;0),MIN(MAX(Q20/Assumptions!$B$61-Q16,0),Q9),0)</f>
        <v>0</v>
      </c>
      <c r="R21" s="11">
        <f>IF(AND(Timeline!R8=1,R9&gt;0),MIN(MAX(R20/Assumptions!$B$61-R16,0),R9),0)</f>
        <v>0</v>
      </c>
    </row>
    <row r="22" spans="1:18" ht="15" customHeight="1" x14ac:dyDescent="0.3">
      <c r="A22" s="5" t="s">
        <v>162</v>
      </c>
      <c r="B22" s="11">
        <f>IF(AND(Timeline!B8=1,B9&gt;0),MIN(C13/7,B9),0)</f>
        <v>0</v>
      </c>
      <c r="C22" s="11">
        <f>IF(AND(Timeline!C8=1,C9&gt;0),MIN(C13/7,C9),0)</f>
        <v>0</v>
      </c>
      <c r="D22" s="11">
        <f>IF(AND(Timeline!D8=1,D9&gt;0),MIN(C13/7,D9),0)</f>
        <v>5.2360285714285739</v>
      </c>
      <c r="E22" s="11">
        <f>IF(AND(Timeline!E8=1,E9&gt;0),MIN(C13/7,E9),0)</f>
        <v>5.2360285714285739</v>
      </c>
      <c r="F22" s="11">
        <f>IF(AND(Timeline!F8=1,F9&gt;0),MIN(C13/7,F9),0)</f>
        <v>5.2360285714285739</v>
      </c>
      <c r="G22" s="11">
        <f>IF(AND(Timeline!G8=1,G9&gt;0),MIN(C13/7,G9),0)</f>
        <v>0</v>
      </c>
      <c r="H22" s="11">
        <f>IF(AND(Timeline!H8=1,H9&gt;0),MIN(C13/7,H9),0)</f>
        <v>0</v>
      </c>
      <c r="I22" s="11">
        <f>IF(AND(Timeline!I8=1,I9&gt;0),MIN(C13/7,I9),0)</f>
        <v>0</v>
      </c>
      <c r="J22" s="11">
        <f>IF(AND(Timeline!J8=1,J9&gt;0),MIN(C13/7,J9),0)</f>
        <v>0</v>
      </c>
      <c r="K22" s="11">
        <f>IF(AND(Timeline!K8=1,K9&gt;0),MIN(C13/7,K9),0)</f>
        <v>0</v>
      </c>
      <c r="L22" s="11">
        <f>IF(AND(Timeline!L8=1,L9&gt;0),MIN(C13/7,L9),0)</f>
        <v>0</v>
      </c>
      <c r="M22" s="11">
        <f>IF(AND(Timeline!M8=1,M9&gt;0),MIN(C13/7,M9),0)</f>
        <v>0</v>
      </c>
      <c r="N22" s="11">
        <f>IF(AND(Timeline!N8=1,N9&gt;0),MIN(C13/7,N9),0)</f>
        <v>0</v>
      </c>
      <c r="O22" s="11">
        <f>IF(AND(Timeline!O8=1,O9&gt;0),MIN(C13/7,O9),0)</f>
        <v>0</v>
      </c>
      <c r="P22" s="11">
        <f>IF(AND(Timeline!P8=1,P9&gt;0),MIN(C13/7,P9),0)</f>
        <v>0</v>
      </c>
      <c r="Q22" s="11">
        <f>IF(AND(Timeline!Q8=1,Q9&gt;0),MIN(C13/7,Q9),0)</f>
        <v>0</v>
      </c>
      <c r="R22" s="11">
        <f>IF(AND(Timeline!R8=1,R9&gt;0),MIN(C13/7,R9),0)</f>
        <v>0</v>
      </c>
    </row>
    <row r="23" spans="1:18" ht="15" customHeight="1" x14ac:dyDescent="0.3">
      <c r="A23" s="5" t="s">
        <v>163</v>
      </c>
      <c r="B23" s="11">
        <f>0</f>
        <v>0</v>
      </c>
      <c r="C23" s="11">
        <f>0</f>
        <v>0</v>
      </c>
      <c r="D23" s="11">
        <f>0</f>
        <v>0</v>
      </c>
      <c r="E23" s="11">
        <f>0</f>
        <v>0</v>
      </c>
      <c r="F23" s="11">
        <f>0</f>
        <v>0</v>
      </c>
      <c r="G23" s="11">
        <f>0</f>
        <v>0</v>
      </c>
      <c r="H23" s="11">
        <f>0</f>
        <v>0</v>
      </c>
      <c r="I23" s="11">
        <f>0</f>
        <v>0</v>
      </c>
      <c r="J23" s="11">
        <f>0</f>
        <v>0</v>
      </c>
      <c r="K23" s="11">
        <f>0</f>
        <v>0</v>
      </c>
      <c r="L23" s="11">
        <f>0</f>
        <v>0</v>
      </c>
      <c r="M23" s="11">
        <f>0</f>
        <v>0</v>
      </c>
      <c r="N23" s="11">
        <f>0</f>
        <v>0</v>
      </c>
      <c r="O23" s="11">
        <f>0</f>
        <v>0</v>
      </c>
      <c r="P23" s="11">
        <f>0</f>
        <v>0</v>
      </c>
      <c r="Q23" s="11">
        <f>0</f>
        <v>0</v>
      </c>
      <c r="R23" s="11">
        <f>IF(Timeline!R8=1,R9,0)</f>
        <v>0</v>
      </c>
    </row>
    <row r="24" spans="1:18" ht="15" customHeight="1" x14ac:dyDescent="0.3">
      <c r="A24" s="5" t="s">
        <v>164</v>
      </c>
      <c r="B24" s="11">
        <f>IF(Assumptions!$B$62=1,B21,IF(Assumptions!$B$62=2,B22,B23))</f>
        <v>0</v>
      </c>
      <c r="C24" s="11">
        <f>IF(Assumptions!$B$62=1,C21,IF(Assumptions!$B$62=2,C22,C23))</f>
        <v>0</v>
      </c>
      <c r="D24" s="11">
        <f>IF(Assumptions!$B$62=1,D21,IF(Assumptions!$B$62=2,D22,D23))</f>
        <v>9.5432081176470156</v>
      </c>
      <c r="E24" s="11">
        <f>IF(Assumptions!$B$62=1,E21,IF(Assumptions!$B$62=2,E22,E23))</f>
        <v>10.681179957254843</v>
      </c>
      <c r="F24" s="11">
        <f>IF(Assumptions!$B$62=1,F21,IF(Assumptions!$B$62=2,F22,F23))</f>
        <v>16.427811925098155</v>
      </c>
      <c r="G24" s="11">
        <f>IF(Assumptions!$B$62=1,G21,IF(Assumptions!$B$62=2,G22,G23))</f>
        <v>0</v>
      </c>
      <c r="H24" s="11">
        <f>IF(Assumptions!$B$62=1,H21,IF(Assumptions!$B$62=2,H22,H23))</f>
        <v>0</v>
      </c>
      <c r="I24" s="11">
        <f>IF(Assumptions!$B$62=1,I21,IF(Assumptions!$B$62=2,I22,I23))</f>
        <v>0</v>
      </c>
      <c r="J24" s="11">
        <f>IF(Assumptions!$B$62=1,J21,IF(Assumptions!$B$62=2,J22,J23))</f>
        <v>0</v>
      </c>
      <c r="K24" s="11">
        <f>IF(Assumptions!$B$62=1,K21,IF(Assumptions!$B$62=2,K22,K23))</f>
        <v>0</v>
      </c>
      <c r="L24" s="11">
        <f>IF(Assumptions!$B$62=1,L21,IF(Assumptions!$B$62=2,L22,L23))</f>
        <v>0</v>
      </c>
      <c r="M24" s="11">
        <f>IF(Assumptions!$B$62=1,M21,IF(Assumptions!$B$62=2,M22,M23))</f>
        <v>0</v>
      </c>
      <c r="N24" s="11">
        <f>IF(Assumptions!$B$62=1,N21,IF(Assumptions!$B$62=2,N22,N23))</f>
        <v>0</v>
      </c>
      <c r="O24" s="11">
        <f>IF(Assumptions!$B$62=1,O21,IF(Assumptions!$B$62=2,O22,O23))</f>
        <v>0</v>
      </c>
      <c r="P24" s="11">
        <f>IF(Assumptions!$B$62=1,P21,IF(Assumptions!$B$62=2,P22,P23))</f>
        <v>0</v>
      </c>
      <c r="Q24" s="11">
        <f>IF(Assumptions!$B$62=1,Q21,IF(Assumptions!$B$62=2,Q22,Q23))</f>
        <v>0</v>
      </c>
      <c r="R24" s="11">
        <f>IF(Assumptions!$B$62=1,R21,IF(Assumptions!$B$62=2,R22,R23))</f>
        <v>0</v>
      </c>
    </row>
    <row r="25" spans="1:18" ht="15" customHeight="1" x14ac:dyDescent="0.3">
      <c r="A25" s="5" t="s">
        <v>165</v>
      </c>
      <c r="B25" s="11">
        <f t="shared" ref="B25:R25" si="5">B16+B12</f>
        <v>0</v>
      </c>
      <c r="C25" s="11">
        <f t="shared" si="5"/>
        <v>0</v>
      </c>
      <c r="D25" s="11">
        <f t="shared" si="5"/>
        <v>14.307994117647016</v>
      </c>
      <c r="E25" s="11">
        <f t="shared" si="5"/>
        <v>14.205348901960733</v>
      </c>
      <c r="F25" s="11">
        <f t="shared" si="5"/>
        <v>18.563427475360914</v>
      </c>
      <c r="G25" s="11">
        <f t="shared" si="5"/>
        <v>0</v>
      </c>
      <c r="H25" s="11">
        <f t="shared" si="5"/>
        <v>0</v>
      </c>
      <c r="I25" s="11">
        <f t="shared" si="5"/>
        <v>0</v>
      </c>
      <c r="J25" s="11">
        <f t="shared" si="5"/>
        <v>0</v>
      </c>
      <c r="K25" s="11">
        <f t="shared" si="5"/>
        <v>0</v>
      </c>
      <c r="L25" s="11">
        <f t="shared" si="5"/>
        <v>0</v>
      </c>
      <c r="M25" s="11">
        <f t="shared" si="5"/>
        <v>0</v>
      </c>
      <c r="N25" s="11">
        <f t="shared" si="5"/>
        <v>0</v>
      </c>
      <c r="O25" s="11">
        <f t="shared" si="5"/>
        <v>0</v>
      </c>
      <c r="P25" s="11">
        <f t="shared" si="5"/>
        <v>0</v>
      </c>
      <c r="Q25" s="11">
        <f t="shared" si="5"/>
        <v>0</v>
      </c>
      <c r="R25" s="11">
        <f t="shared" si="5"/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1F4E79"/>
  </sheetPr>
  <dimension ref="A1:R11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8.6640625" defaultRowHeight="14.4" x14ac:dyDescent="0.3"/>
  <cols>
    <col min="1" max="1" width="35" customWidth="1"/>
    <col min="2" max="18" width="16" customWidth="1"/>
  </cols>
  <sheetData>
    <row r="1" spans="1:18" ht="17.25" customHeight="1" x14ac:dyDescent="0.3">
      <c r="A1" s="3" t="s">
        <v>308</v>
      </c>
    </row>
    <row r="2" spans="1:18" ht="15" customHeight="1" x14ac:dyDescent="0.3">
      <c r="A2" s="4"/>
      <c r="B2" s="4" t="s">
        <v>74</v>
      </c>
      <c r="C2" s="4" t="s">
        <v>75</v>
      </c>
      <c r="D2" s="4" t="s">
        <v>76</v>
      </c>
      <c r="E2" s="4" t="s">
        <v>77</v>
      </c>
      <c r="F2" s="4" t="s">
        <v>78</v>
      </c>
      <c r="G2" s="4" t="s">
        <v>79</v>
      </c>
      <c r="H2" s="4" t="s">
        <v>80</v>
      </c>
      <c r="I2" s="4" t="s">
        <v>81</v>
      </c>
      <c r="J2" s="4" t="s">
        <v>82</v>
      </c>
      <c r="K2" s="4" t="s">
        <v>83</v>
      </c>
      <c r="L2" s="4" t="s">
        <v>84</v>
      </c>
      <c r="M2" s="4" t="s">
        <v>85</v>
      </c>
      <c r="N2" s="4" t="s">
        <v>86</v>
      </c>
      <c r="O2" s="4" t="s">
        <v>87</v>
      </c>
      <c r="P2" s="4" t="s">
        <v>88</v>
      </c>
      <c r="Q2" s="4" t="s">
        <v>89</v>
      </c>
      <c r="R2" s="4" t="s">
        <v>90</v>
      </c>
    </row>
    <row r="3" spans="1:18" ht="15" customHeight="1" x14ac:dyDescent="0.3">
      <c r="A3" s="7" t="s">
        <v>166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" customHeight="1" x14ac:dyDescent="0.3">
      <c r="A4" s="5" t="s">
        <v>167</v>
      </c>
      <c r="B4" s="13">
        <f>Revenue!B28</f>
        <v>0</v>
      </c>
      <c r="C4" s="13">
        <f>Revenue!C28</f>
        <v>0</v>
      </c>
      <c r="D4" s="13">
        <f>Revenue!D28</f>
        <v>66.874870588235154</v>
      </c>
      <c r="E4" s="13">
        <f>Revenue!E28</f>
        <v>68.212367999999856</v>
      </c>
      <c r="F4" s="13">
        <f>Revenue!F28</f>
        <v>95.551885094399822</v>
      </c>
      <c r="G4" s="13">
        <f>Revenue!G28</f>
        <v>97.462922796287813</v>
      </c>
      <c r="H4" s="13">
        <f>Revenue!H28</f>
        <v>102.39454668977994</v>
      </c>
      <c r="I4" s="13">
        <f>Revenue!I28</f>
        <v>104.44243762357554</v>
      </c>
      <c r="J4" s="13">
        <f>Revenue!J28</f>
        <v>109.72722496732852</v>
      </c>
      <c r="K4" s="13">
        <f>Revenue!K28</f>
        <v>111.92176946667506</v>
      </c>
      <c r="L4" s="13">
        <f>Revenue!L28</f>
        <v>117.58501100168877</v>
      </c>
      <c r="M4" s="13">
        <f>Revenue!M28</f>
        <v>119.93671122172256</v>
      </c>
      <c r="N4" s="13">
        <f>Revenue!N28</f>
        <v>126.00550880954172</v>
      </c>
      <c r="O4" s="13">
        <f>Revenue!O28</f>
        <v>128.52561898573254</v>
      </c>
      <c r="P4" s="13">
        <f>Revenue!P28</f>
        <v>135.02901530641063</v>
      </c>
      <c r="Q4" s="13">
        <f>Revenue!Q28</f>
        <v>137.72959561253882</v>
      </c>
      <c r="R4" s="13">
        <f>Revenue!R28</f>
        <v>144.69871315053331</v>
      </c>
    </row>
    <row r="5" spans="1:18" ht="15" customHeight="1" x14ac:dyDescent="0.3">
      <c r="A5" s="5" t="s">
        <v>168</v>
      </c>
      <c r="B5" s="13">
        <f>OpEx!B29</f>
        <v>0</v>
      </c>
      <c r="C5" s="13">
        <f>OpEx!C29</f>
        <v>0</v>
      </c>
      <c r="D5" s="13">
        <f>OpEx!D29</f>
        <v>48.343136470588149</v>
      </c>
      <c r="E5" s="13">
        <f>OpEx!E29</f>
        <v>49.80380814117639</v>
      </c>
      <c r="F5" s="13">
        <f>OpEx!F29</f>
        <v>61.239543444065774</v>
      </c>
      <c r="G5" s="13">
        <f>OpEx!G29</f>
        <v>62.988904364711793</v>
      </c>
      <c r="H5" s="13">
        <f>OpEx!H29</f>
        <v>65.938227612986438</v>
      </c>
      <c r="I5" s="13">
        <f>OpEx!I29</f>
        <v>67.827991586595815</v>
      </c>
      <c r="J5" s="13">
        <f>OpEx!J29</f>
        <v>71.004434007259363</v>
      </c>
      <c r="K5" s="13">
        <f>OpEx!K29</f>
        <v>73.046267945287212</v>
      </c>
      <c r="L5" s="13">
        <f>OpEx!L29</f>
        <v>76.467795986389461</v>
      </c>
      <c r="M5" s="13">
        <f>OpEx!M29</f>
        <v>78.67438680022741</v>
      </c>
      <c r="N5" s="13">
        <f>OpEx!N29</f>
        <v>82.360448884731383</v>
      </c>
      <c r="O5" s="13">
        <f>OpEx!O29</f>
        <v>84.745598898868295</v>
      </c>
      <c r="P5" s="13">
        <f>OpEx!P29</f>
        <v>88.717255289981523</v>
      </c>
      <c r="Q5" s="13">
        <f>OpEx!Q29</f>
        <v>91.295987312206123</v>
      </c>
      <c r="R5" s="13">
        <f>OpEx!R29</f>
        <v>95.576052280157313</v>
      </c>
    </row>
    <row r="7" spans="1:18" ht="15" customHeight="1" x14ac:dyDescent="0.3">
      <c r="A7" s="5" t="s">
        <v>169</v>
      </c>
      <c r="B7" s="11">
        <f>B4*Assumptions!$B$65/365</f>
        <v>0</v>
      </c>
      <c r="C7" s="11">
        <f>C4*Assumptions!$B$65/365</f>
        <v>0</v>
      </c>
      <c r="D7" s="11">
        <f>D4*Assumptions!$B$65/365</f>
        <v>8.2448470588235114</v>
      </c>
      <c r="E7" s="11">
        <f>E4*Assumptions!$B$65/365</f>
        <v>8.4097439999999821</v>
      </c>
      <c r="F7" s="11">
        <f>F4*Assumptions!$B$65/365</f>
        <v>11.78036939519998</v>
      </c>
      <c r="G7" s="11">
        <f>G4*Assumptions!$B$65/365</f>
        <v>12.015976783103977</v>
      </c>
      <c r="H7" s="11">
        <f>H4*Assumptions!$B$65/365</f>
        <v>12.623985208329033</v>
      </c>
      <c r="I7" s="11">
        <f>I4*Assumptions!$B$65/365</f>
        <v>12.876464912495615</v>
      </c>
      <c r="J7" s="11">
        <f>J4*Assumptions!$B$65/365</f>
        <v>13.5280140370679</v>
      </c>
      <c r="K7" s="11">
        <f>K4*Assumptions!$B$65/365</f>
        <v>13.798574317809255</v>
      </c>
      <c r="L7" s="11">
        <f>L4*Assumptions!$B$65/365</f>
        <v>14.496782178290397</v>
      </c>
      <c r="M7" s="11">
        <f>M4*Assumptions!$B$65/365</f>
        <v>14.786717821856207</v>
      </c>
      <c r="N7" s="11">
        <f>N4*Assumptions!$B$65/365</f>
        <v>15.53492574364213</v>
      </c>
      <c r="O7" s="11">
        <f>O4*Assumptions!$B$65/365</f>
        <v>15.84562425851497</v>
      </c>
      <c r="P7" s="11">
        <f>P4*Assumptions!$B$65/365</f>
        <v>16.647412845995831</v>
      </c>
      <c r="Q7" s="11">
        <f>Q4*Assumptions!$B$65/365</f>
        <v>16.980361102915744</v>
      </c>
      <c r="R7" s="11">
        <f>R4*Assumptions!$B$65/365</f>
        <v>17.839567374723284</v>
      </c>
    </row>
    <row r="8" spans="1:18" ht="15" customHeight="1" x14ac:dyDescent="0.3">
      <c r="A8" s="5" t="s">
        <v>170</v>
      </c>
      <c r="B8" s="11">
        <f>B5*Assumptions!$B$67/365</f>
        <v>0</v>
      </c>
      <c r="C8" s="11">
        <f>C5*Assumptions!$B$67/365</f>
        <v>0</v>
      </c>
      <c r="D8" s="11">
        <f>D5*Assumptions!$B$67/365</f>
        <v>1.986704238517321</v>
      </c>
      <c r="E8" s="11">
        <f>E5*Assumptions!$B$67/365</f>
        <v>2.0467318414182079</v>
      </c>
      <c r="F8" s="11">
        <f>F5*Assumptions!$B$67/365</f>
        <v>2.5166935661944838</v>
      </c>
      <c r="G8" s="11">
        <f>G5*Assumptions!$B$67/365</f>
        <v>2.5885851108785669</v>
      </c>
      <c r="H8" s="11">
        <f>H5*Assumptions!$B$67/365</f>
        <v>2.7097901758761549</v>
      </c>
      <c r="I8" s="11">
        <f>I5*Assumptions!$B$67/365</f>
        <v>2.7874517090381841</v>
      </c>
      <c r="J8" s="11">
        <f>J5*Assumptions!$B$67/365</f>
        <v>2.9179904386544946</v>
      </c>
      <c r="K8" s="11">
        <f>K5*Assumptions!$B$67/365</f>
        <v>3.0019014224090639</v>
      </c>
      <c r="L8" s="11">
        <f>L5*Assumptions!$B$67/365</f>
        <v>3.1425121638242244</v>
      </c>
      <c r="M8" s="11">
        <f>M5*Assumptions!$B$67/365</f>
        <v>3.2331939780915371</v>
      </c>
      <c r="N8" s="11">
        <f>N5*Assumptions!$B$67/365</f>
        <v>3.3846759815643037</v>
      </c>
      <c r="O8" s="11">
        <f>O5*Assumptions!$B$67/365</f>
        <v>3.4826958451589709</v>
      </c>
      <c r="P8" s="11">
        <f>P5*Assumptions!$B$67/365</f>
        <v>3.6459146009581449</v>
      </c>
      <c r="Q8" s="11">
        <f>Q5*Assumptions!$B$67/365</f>
        <v>3.7518898895427175</v>
      </c>
      <c r="R8" s="11">
        <f>R5*Assumptions!$B$67/365</f>
        <v>3.9277829704174239</v>
      </c>
    </row>
    <row r="9" spans="1:18" ht="15" customHeight="1" x14ac:dyDescent="0.3">
      <c r="A9" s="5" t="s">
        <v>171</v>
      </c>
      <c r="B9" s="11">
        <f>B5*Assumptions!$B$66/365</f>
        <v>0</v>
      </c>
      <c r="C9" s="11">
        <f>C5*Assumptions!$B$66/365</f>
        <v>0</v>
      </c>
      <c r="D9" s="11">
        <f>D5*Assumptions!$B$66/365</f>
        <v>3.9734084770346421</v>
      </c>
      <c r="E9" s="11">
        <f>E5*Assumptions!$B$66/365</f>
        <v>4.0934636828364157</v>
      </c>
      <c r="F9" s="11">
        <f>F5*Assumptions!$B$66/365</f>
        <v>5.0333871323889676</v>
      </c>
      <c r="G9" s="11">
        <f>G5*Assumptions!$B$66/365</f>
        <v>5.1771702217571338</v>
      </c>
      <c r="H9" s="11">
        <f>H5*Assumptions!$B$66/365</f>
        <v>5.4195803517523098</v>
      </c>
      <c r="I9" s="11">
        <f>I5*Assumptions!$B$66/365</f>
        <v>5.5749034180763681</v>
      </c>
      <c r="J9" s="11">
        <f>J5*Assumptions!$B$66/365</f>
        <v>5.8359808773089892</v>
      </c>
      <c r="K9" s="11">
        <f>K5*Assumptions!$B$66/365</f>
        <v>6.0038028448181278</v>
      </c>
      <c r="L9" s="11">
        <f>L5*Assumptions!$B$66/365</f>
        <v>6.2850243276484488</v>
      </c>
      <c r="M9" s="11">
        <f>M5*Assumptions!$B$66/365</f>
        <v>6.4663879561830742</v>
      </c>
      <c r="N9" s="11">
        <f>N5*Assumptions!$B$66/365</f>
        <v>6.7693519631286074</v>
      </c>
      <c r="O9" s="11">
        <f>O5*Assumptions!$B$66/365</f>
        <v>6.9653916903179418</v>
      </c>
      <c r="P9" s="11">
        <f>P5*Assumptions!$B$66/365</f>
        <v>7.2918292019162898</v>
      </c>
      <c r="Q9" s="11">
        <f>Q5*Assumptions!$B$66/365</f>
        <v>7.503779779085435</v>
      </c>
      <c r="R9" s="11">
        <f>R5*Assumptions!$B$66/365</f>
        <v>7.8555659408348477</v>
      </c>
    </row>
    <row r="10" spans="1:18" ht="15" customHeight="1" x14ac:dyDescent="0.3">
      <c r="A10" s="5" t="s">
        <v>172</v>
      </c>
      <c r="B10" s="11">
        <f t="shared" ref="B10:R10" si="0">B7+B8-B9</f>
        <v>0</v>
      </c>
      <c r="C10" s="11">
        <f t="shared" si="0"/>
        <v>0</v>
      </c>
      <c r="D10" s="11">
        <f t="shared" si="0"/>
        <v>6.2581428203061904</v>
      </c>
      <c r="E10" s="11">
        <f t="shared" si="0"/>
        <v>6.3630121585817738</v>
      </c>
      <c r="F10" s="11">
        <f t="shared" si="0"/>
        <v>9.2636758290054964</v>
      </c>
      <c r="G10" s="11">
        <f t="shared" si="0"/>
        <v>9.4273916722254096</v>
      </c>
      <c r="H10" s="11">
        <f t="shared" si="0"/>
        <v>9.9141950324528771</v>
      </c>
      <c r="I10" s="11">
        <f t="shared" si="0"/>
        <v>10.08901320345743</v>
      </c>
      <c r="J10" s="11">
        <f t="shared" si="0"/>
        <v>10.610023598413404</v>
      </c>
      <c r="K10" s="11">
        <f t="shared" si="0"/>
        <v>10.796672895400189</v>
      </c>
      <c r="L10" s="11">
        <f t="shared" si="0"/>
        <v>11.354270014466172</v>
      </c>
      <c r="M10" s="11">
        <f t="shared" si="0"/>
        <v>11.553523843764673</v>
      </c>
      <c r="N10" s="11">
        <f t="shared" si="0"/>
        <v>12.150249762077827</v>
      </c>
      <c r="O10" s="11">
        <f t="shared" si="0"/>
        <v>12.362928413356</v>
      </c>
      <c r="P10" s="11">
        <f t="shared" si="0"/>
        <v>13.001498245037684</v>
      </c>
      <c r="Q10" s="11">
        <f t="shared" si="0"/>
        <v>13.228471213373027</v>
      </c>
      <c r="R10" s="11">
        <f t="shared" si="0"/>
        <v>13.911784404305862</v>
      </c>
    </row>
    <row r="11" spans="1:18" ht="15" customHeight="1" x14ac:dyDescent="0.3">
      <c r="A11" s="5" t="s">
        <v>173</v>
      </c>
      <c r="B11" s="11">
        <f>-B10</f>
        <v>0</v>
      </c>
      <c r="C11" s="11">
        <f t="shared" ref="C11:R11" si="1">-(C10-B10)</f>
        <v>0</v>
      </c>
      <c r="D11" s="11">
        <f t="shared" si="1"/>
        <v>-6.2581428203061904</v>
      </c>
      <c r="E11" s="11">
        <f t="shared" si="1"/>
        <v>-0.10486933827558342</v>
      </c>
      <c r="F11" s="11">
        <f t="shared" si="1"/>
        <v>-2.9006636704237225</v>
      </c>
      <c r="G11" s="11">
        <f t="shared" si="1"/>
        <v>-0.16371584321991328</v>
      </c>
      <c r="H11" s="11">
        <f t="shared" si="1"/>
        <v>-0.48680336022746751</v>
      </c>
      <c r="I11" s="11">
        <f t="shared" si="1"/>
        <v>-0.17481817100455288</v>
      </c>
      <c r="J11" s="11">
        <f t="shared" si="1"/>
        <v>-0.52101039495597412</v>
      </c>
      <c r="K11" s="11">
        <f t="shared" si="1"/>
        <v>-0.18664929698678456</v>
      </c>
      <c r="L11" s="11">
        <f t="shared" si="1"/>
        <v>-0.55759711906598319</v>
      </c>
      <c r="M11" s="11">
        <f t="shared" si="1"/>
        <v>-0.19925382929850066</v>
      </c>
      <c r="N11" s="11">
        <f t="shared" si="1"/>
        <v>-0.59672591831315458</v>
      </c>
      <c r="O11" s="11">
        <f t="shared" si="1"/>
        <v>-0.21267865127817309</v>
      </c>
      <c r="P11" s="11">
        <f t="shared" si="1"/>
        <v>-0.63856983168168391</v>
      </c>
      <c r="Q11" s="11">
        <f t="shared" si="1"/>
        <v>-0.22697296833534253</v>
      </c>
      <c r="R11" s="11">
        <f t="shared" si="1"/>
        <v>-0.68331319093283582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R47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8.6640625" defaultRowHeight="14.4" x14ac:dyDescent="0.3"/>
  <cols>
    <col min="1" max="1" width="35" customWidth="1"/>
    <col min="2" max="18" width="16" customWidth="1"/>
  </cols>
  <sheetData>
    <row r="1" spans="1:18" ht="17.25" customHeight="1" x14ac:dyDescent="0.3">
      <c r="A1" s="3" t="s">
        <v>309</v>
      </c>
    </row>
    <row r="2" spans="1:18" ht="15" customHeight="1" x14ac:dyDescent="0.3">
      <c r="A2" s="4"/>
      <c r="B2" s="4" t="s">
        <v>74</v>
      </c>
      <c r="C2" s="4" t="s">
        <v>75</v>
      </c>
      <c r="D2" s="4" t="s">
        <v>76</v>
      </c>
      <c r="E2" s="4" t="s">
        <v>77</v>
      </c>
      <c r="F2" s="4" t="s">
        <v>78</v>
      </c>
      <c r="G2" s="4" t="s">
        <v>79</v>
      </c>
      <c r="H2" s="4" t="s">
        <v>80</v>
      </c>
      <c r="I2" s="4" t="s">
        <v>81</v>
      </c>
      <c r="J2" s="4" t="s">
        <v>82</v>
      </c>
      <c r="K2" s="4" t="s">
        <v>83</v>
      </c>
      <c r="L2" s="4" t="s">
        <v>84</v>
      </c>
      <c r="M2" s="4" t="s">
        <v>85</v>
      </c>
      <c r="N2" s="4" t="s">
        <v>86</v>
      </c>
      <c r="O2" s="4" t="s">
        <v>87</v>
      </c>
      <c r="P2" s="4" t="s">
        <v>88</v>
      </c>
      <c r="Q2" s="4" t="s">
        <v>89</v>
      </c>
      <c r="R2" s="4" t="s">
        <v>90</v>
      </c>
    </row>
    <row r="3" spans="1:18" ht="15" customHeight="1" x14ac:dyDescent="0.3">
      <c r="A3" s="7" t="s">
        <v>174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" customHeight="1" x14ac:dyDescent="0.3">
      <c r="A4" s="5" t="s">
        <v>167</v>
      </c>
      <c r="B4" s="13">
        <f>Revenue!B28</f>
        <v>0</v>
      </c>
      <c r="C4" s="13">
        <f>Revenue!C28</f>
        <v>0</v>
      </c>
      <c r="D4" s="13">
        <f>Revenue!D28</f>
        <v>66.874870588235154</v>
      </c>
      <c r="E4" s="13">
        <f>Revenue!E28</f>
        <v>68.212367999999856</v>
      </c>
      <c r="F4" s="13">
        <f>Revenue!F28</f>
        <v>95.551885094399822</v>
      </c>
      <c r="G4" s="13">
        <f>Revenue!G28</f>
        <v>97.462922796287813</v>
      </c>
      <c r="H4" s="13">
        <f>Revenue!H28</f>
        <v>102.39454668977994</v>
      </c>
      <c r="I4" s="13">
        <f>Revenue!I28</f>
        <v>104.44243762357554</v>
      </c>
      <c r="J4" s="13">
        <f>Revenue!J28</f>
        <v>109.72722496732852</v>
      </c>
      <c r="K4" s="13">
        <f>Revenue!K28</f>
        <v>111.92176946667506</v>
      </c>
      <c r="L4" s="13">
        <f>Revenue!L28</f>
        <v>117.58501100168877</v>
      </c>
      <c r="M4" s="13">
        <f>Revenue!M28</f>
        <v>119.93671122172256</v>
      </c>
      <c r="N4" s="13">
        <f>Revenue!N28</f>
        <v>126.00550880954172</v>
      </c>
      <c r="O4" s="13">
        <f>Revenue!O28</f>
        <v>128.52561898573254</v>
      </c>
      <c r="P4" s="13">
        <f>Revenue!P28</f>
        <v>135.02901530641063</v>
      </c>
      <c r="Q4" s="13">
        <f>Revenue!Q28</f>
        <v>137.72959561253882</v>
      </c>
      <c r="R4" s="13">
        <f>Revenue!R28</f>
        <v>144.69871315053331</v>
      </c>
    </row>
    <row r="5" spans="1:18" ht="15" customHeight="1" x14ac:dyDescent="0.3">
      <c r="A5" s="5" t="s">
        <v>128</v>
      </c>
      <c r="B5" s="13">
        <f>OpEx!B29</f>
        <v>0</v>
      </c>
      <c r="C5" s="13">
        <f>OpEx!C29</f>
        <v>0</v>
      </c>
      <c r="D5" s="13">
        <f>OpEx!D29</f>
        <v>48.343136470588149</v>
      </c>
      <c r="E5" s="13">
        <f>OpEx!E29</f>
        <v>49.80380814117639</v>
      </c>
      <c r="F5" s="13">
        <f>OpEx!F29</f>
        <v>61.239543444065774</v>
      </c>
      <c r="G5" s="13">
        <f>OpEx!G29</f>
        <v>62.988904364711793</v>
      </c>
      <c r="H5" s="13">
        <f>OpEx!H29</f>
        <v>65.938227612986438</v>
      </c>
      <c r="I5" s="13">
        <f>OpEx!I29</f>
        <v>67.827991586595815</v>
      </c>
      <c r="J5" s="13">
        <f>OpEx!J29</f>
        <v>71.004434007259363</v>
      </c>
      <c r="K5" s="13">
        <f>OpEx!K29</f>
        <v>73.046267945287212</v>
      </c>
      <c r="L5" s="13">
        <f>OpEx!L29</f>
        <v>76.467795986389461</v>
      </c>
      <c r="M5" s="13">
        <f>OpEx!M29</f>
        <v>78.67438680022741</v>
      </c>
      <c r="N5" s="13">
        <f>OpEx!N29</f>
        <v>82.360448884731383</v>
      </c>
      <c r="O5" s="13">
        <f>OpEx!O29</f>
        <v>84.745598898868295</v>
      </c>
      <c r="P5" s="13">
        <f>OpEx!P29</f>
        <v>88.717255289981523</v>
      </c>
      <c r="Q5" s="13">
        <f>OpEx!Q29</f>
        <v>91.295987312206123</v>
      </c>
      <c r="R5" s="13">
        <f>OpEx!R29</f>
        <v>95.576052280157313</v>
      </c>
    </row>
    <row r="6" spans="1:18" ht="15" customHeight="1" x14ac:dyDescent="0.3">
      <c r="A6" s="5" t="s">
        <v>129</v>
      </c>
      <c r="B6" s="11">
        <f t="shared" ref="B6:R6" si="0">B4-B5</f>
        <v>0</v>
      </c>
      <c r="C6" s="11">
        <f t="shared" si="0"/>
        <v>0</v>
      </c>
      <c r="D6" s="11">
        <f t="shared" si="0"/>
        <v>18.531734117647005</v>
      </c>
      <c r="E6" s="11">
        <f t="shared" si="0"/>
        <v>18.408559858823466</v>
      </c>
      <c r="F6" s="11">
        <f t="shared" si="0"/>
        <v>34.312341650334048</v>
      </c>
      <c r="G6" s="11">
        <f t="shared" si="0"/>
        <v>34.47401843157602</v>
      </c>
      <c r="H6" s="11">
        <f t="shared" si="0"/>
        <v>36.456319076793505</v>
      </c>
      <c r="I6" s="11">
        <f t="shared" si="0"/>
        <v>36.614446036979729</v>
      </c>
      <c r="J6" s="11">
        <f t="shared" si="0"/>
        <v>38.722790960069162</v>
      </c>
      <c r="K6" s="11">
        <f t="shared" si="0"/>
        <v>38.875501521387847</v>
      </c>
      <c r="L6" s="11">
        <f t="shared" si="0"/>
        <v>41.117215015299308</v>
      </c>
      <c r="M6" s="11">
        <f t="shared" si="0"/>
        <v>41.262324421495151</v>
      </c>
      <c r="N6" s="11">
        <f t="shared" si="0"/>
        <v>43.64505992481034</v>
      </c>
      <c r="O6" s="11">
        <f t="shared" si="0"/>
        <v>43.780020086864241</v>
      </c>
      <c r="P6" s="11">
        <f t="shared" si="0"/>
        <v>46.311760016429105</v>
      </c>
      <c r="Q6" s="11">
        <f t="shared" si="0"/>
        <v>46.433608300332693</v>
      </c>
      <c r="R6" s="11">
        <f t="shared" si="0"/>
        <v>49.122660870375995</v>
      </c>
    </row>
    <row r="7" spans="1:18" ht="15" customHeight="1" x14ac:dyDescent="0.3">
      <c r="A7" s="5" t="s">
        <v>175</v>
      </c>
      <c r="B7" s="13">
        <f>Capex_Depr!B18</f>
        <v>0</v>
      </c>
      <c r="C7" s="13">
        <f>Capex_Depr!C18</f>
        <v>0</v>
      </c>
      <c r="D7" s="13">
        <f>Capex_Depr!D18</f>
        <v>6.671616470588237</v>
      </c>
      <c r="E7" s="13">
        <f>Capex_Depr!E18</f>
        <v>6.671616470588237</v>
      </c>
      <c r="F7" s="13">
        <f>Capex_Depr!F18</f>
        <v>6.671616470588237</v>
      </c>
      <c r="G7" s="13">
        <f>Capex_Depr!G18</f>
        <v>6.671616470588237</v>
      </c>
      <c r="H7" s="13">
        <f>Capex_Depr!H18</f>
        <v>6.671616470588237</v>
      </c>
      <c r="I7" s="13">
        <f>Capex_Depr!I18</f>
        <v>0</v>
      </c>
      <c r="J7" s="13">
        <f>Capex_Depr!J18</f>
        <v>0</v>
      </c>
      <c r="K7" s="13">
        <f>Capex_Depr!K18</f>
        <v>0</v>
      </c>
      <c r="L7" s="13">
        <f>Capex_Depr!L18</f>
        <v>0</v>
      </c>
      <c r="M7" s="13">
        <f>Capex_Depr!M18</f>
        <v>0</v>
      </c>
      <c r="N7" s="13">
        <f>Capex_Depr!N18</f>
        <v>0</v>
      </c>
      <c r="O7" s="13">
        <f>Capex_Depr!O18</f>
        <v>0</v>
      </c>
      <c r="P7" s="13">
        <f>Capex_Depr!P18</f>
        <v>0</v>
      </c>
      <c r="Q7" s="13">
        <f>Capex_Depr!Q18</f>
        <v>0</v>
      </c>
      <c r="R7" s="13">
        <f>Capex_Depr!R18</f>
        <v>0</v>
      </c>
    </row>
    <row r="8" spans="1:18" ht="15" customHeight="1" x14ac:dyDescent="0.3">
      <c r="A8" s="5" t="s">
        <v>176</v>
      </c>
      <c r="B8" s="11">
        <f t="shared" ref="B8:R8" si="1">B6-B7</f>
        <v>0</v>
      </c>
      <c r="C8" s="11">
        <f t="shared" si="1"/>
        <v>0</v>
      </c>
      <c r="D8" s="11">
        <f t="shared" si="1"/>
        <v>11.860117647058768</v>
      </c>
      <c r="E8" s="11">
        <f t="shared" si="1"/>
        <v>11.736943388235229</v>
      </c>
      <c r="F8" s="11">
        <f t="shared" si="1"/>
        <v>27.640725179745811</v>
      </c>
      <c r="G8" s="11">
        <f t="shared" si="1"/>
        <v>27.802401960987783</v>
      </c>
      <c r="H8" s="11">
        <f t="shared" si="1"/>
        <v>29.784702606205268</v>
      </c>
      <c r="I8" s="11">
        <f t="shared" si="1"/>
        <v>36.614446036979729</v>
      </c>
      <c r="J8" s="11">
        <f t="shared" si="1"/>
        <v>38.722790960069162</v>
      </c>
      <c r="K8" s="11">
        <f t="shared" si="1"/>
        <v>38.875501521387847</v>
      </c>
      <c r="L8" s="11">
        <f t="shared" si="1"/>
        <v>41.117215015299308</v>
      </c>
      <c r="M8" s="11">
        <f t="shared" si="1"/>
        <v>41.262324421495151</v>
      </c>
      <c r="N8" s="11">
        <f t="shared" si="1"/>
        <v>43.64505992481034</v>
      </c>
      <c r="O8" s="11">
        <f t="shared" si="1"/>
        <v>43.780020086864241</v>
      </c>
      <c r="P8" s="11">
        <f t="shared" si="1"/>
        <v>46.311760016429105</v>
      </c>
      <c r="Q8" s="11">
        <f t="shared" si="1"/>
        <v>46.433608300332693</v>
      </c>
      <c r="R8" s="11">
        <f t="shared" si="1"/>
        <v>49.122660870375995</v>
      </c>
    </row>
    <row r="9" spans="1:18" ht="15" customHeight="1" x14ac:dyDescent="0.3">
      <c r="A9" s="5" t="s">
        <v>177</v>
      </c>
      <c r="B9" s="13">
        <f>Financing!B16</f>
        <v>0</v>
      </c>
      <c r="C9" s="13">
        <f>Financing!C16</f>
        <v>0</v>
      </c>
      <c r="D9" s="13">
        <f>Financing!D16</f>
        <v>4.7647860000000017</v>
      </c>
      <c r="E9" s="13">
        <f>Financing!E16</f>
        <v>3.5241689447058899</v>
      </c>
      <c r="F9" s="13">
        <f>Financing!F16</f>
        <v>2.1356155502627603</v>
      </c>
      <c r="G9" s="13">
        <f>Financing!G16</f>
        <v>0</v>
      </c>
      <c r="H9" s="13">
        <f>Financing!H16</f>
        <v>0</v>
      </c>
      <c r="I9" s="13">
        <f>Financing!I16</f>
        <v>0</v>
      </c>
      <c r="J9" s="13">
        <f>Financing!J16</f>
        <v>0</v>
      </c>
      <c r="K9" s="13">
        <f>Financing!K16</f>
        <v>0</v>
      </c>
      <c r="L9" s="13">
        <f>Financing!L16</f>
        <v>0</v>
      </c>
      <c r="M9" s="13">
        <f>Financing!M16</f>
        <v>0</v>
      </c>
      <c r="N9" s="13">
        <f>Financing!N16</f>
        <v>0</v>
      </c>
      <c r="O9" s="13">
        <f>Financing!O16</f>
        <v>0</v>
      </c>
      <c r="P9" s="13">
        <f>Financing!P16</f>
        <v>0</v>
      </c>
      <c r="Q9" s="13">
        <f>Financing!Q16</f>
        <v>0</v>
      </c>
      <c r="R9" s="13">
        <f>Financing!R16</f>
        <v>0</v>
      </c>
    </row>
    <row r="10" spans="1:18" ht="15" customHeight="1" x14ac:dyDescent="0.3">
      <c r="A10" s="5" t="s">
        <v>178</v>
      </c>
      <c r="B10" s="11">
        <f t="shared" ref="B10:R10" si="2">B8-B9</f>
        <v>0</v>
      </c>
      <c r="C10" s="11">
        <f t="shared" si="2"/>
        <v>0</v>
      </c>
      <c r="D10" s="11">
        <f t="shared" si="2"/>
        <v>7.0953316470587664</v>
      </c>
      <c r="E10" s="11">
        <f t="shared" si="2"/>
        <v>8.2127744435293391</v>
      </c>
      <c r="F10" s="11">
        <f t="shared" si="2"/>
        <v>25.505109629483051</v>
      </c>
      <c r="G10" s="11">
        <f t="shared" si="2"/>
        <v>27.802401960987783</v>
      </c>
      <c r="H10" s="11">
        <f t="shared" si="2"/>
        <v>29.784702606205268</v>
      </c>
      <c r="I10" s="11">
        <f t="shared" si="2"/>
        <v>36.614446036979729</v>
      </c>
      <c r="J10" s="11">
        <f t="shared" si="2"/>
        <v>38.722790960069162</v>
      </c>
      <c r="K10" s="11">
        <f t="shared" si="2"/>
        <v>38.875501521387847</v>
      </c>
      <c r="L10" s="11">
        <f t="shared" si="2"/>
        <v>41.117215015299308</v>
      </c>
      <c r="M10" s="11">
        <f t="shared" si="2"/>
        <v>41.262324421495151</v>
      </c>
      <c r="N10" s="11">
        <f t="shared" si="2"/>
        <v>43.64505992481034</v>
      </c>
      <c r="O10" s="11">
        <f t="shared" si="2"/>
        <v>43.780020086864241</v>
      </c>
      <c r="P10" s="11">
        <f t="shared" si="2"/>
        <v>46.311760016429105</v>
      </c>
      <c r="Q10" s="11">
        <f t="shared" si="2"/>
        <v>46.433608300332693</v>
      </c>
      <c r="R10" s="11">
        <f t="shared" si="2"/>
        <v>49.122660870375995</v>
      </c>
    </row>
    <row r="11" spans="1:18" ht="15" customHeight="1" x14ac:dyDescent="0.3">
      <c r="A11" s="5" t="s">
        <v>179</v>
      </c>
      <c r="B11" s="11">
        <f>IF(B10&gt;0,B10*Assumptions!$B$70,0)</f>
        <v>0</v>
      </c>
      <c r="C11" s="11">
        <f>IF(C10&gt;0,C10*Assumptions!$B$70,0)</f>
        <v>0</v>
      </c>
      <c r="D11" s="11">
        <f>IF(D10&gt;0,D10*Assumptions!$B$70,0)</f>
        <v>1.7858949755646913</v>
      </c>
      <c r="E11" s="11">
        <f>IF(E10&gt;0,E10*Assumptions!$B$70,0)</f>
        <v>2.0671553274363346</v>
      </c>
      <c r="F11" s="11">
        <f>IF(F10&gt;0,F10*Assumptions!$B$70,0)</f>
        <v>6.4196360937408832</v>
      </c>
      <c r="G11" s="11">
        <f>IF(G10&gt;0,G10*Assumptions!$B$70,0)</f>
        <v>6.9978645735806246</v>
      </c>
      <c r="H11" s="11">
        <f>IF(H10&gt;0,H10*Assumptions!$B$70,0)</f>
        <v>7.4968096459818652</v>
      </c>
      <c r="I11" s="11">
        <f>IF(I10&gt;0,I10*Assumptions!$B$70,0)</f>
        <v>9.2158560675077972</v>
      </c>
      <c r="J11" s="11">
        <f>IF(J10&gt;0,J10*Assumptions!$B$70,0)</f>
        <v>9.746526484649408</v>
      </c>
      <c r="K11" s="11">
        <f>IF(K10&gt;0,K10*Assumptions!$B$70,0)</f>
        <v>9.7849637329333206</v>
      </c>
      <c r="L11" s="11">
        <f>IF(L10&gt;0,L10*Assumptions!$B$70,0)</f>
        <v>10.349203019350835</v>
      </c>
      <c r="M11" s="11">
        <f>IF(M10&gt;0,M10*Assumptions!$B$70,0)</f>
        <v>10.385727056890328</v>
      </c>
      <c r="N11" s="11">
        <f>IF(N10&gt;0,N10*Assumptions!$B$70,0)</f>
        <v>10.985461583074761</v>
      </c>
      <c r="O11" s="11">
        <f>IF(O10&gt;0,O10*Assumptions!$B$70,0)</f>
        <v>11.019431055863729</v>
      </c>
      <c r="P11" s="11">
        <f>IF(P10&gt;0,P10*Assumptions!$B$70,0)</f>
        <v>11.656669996135205</v>
      </c>
      <c r="Q11" s="11">
        <f>IF(Q10&gt;0,Q10*Assumptions!$B$70,0)</f>
        <v>11.687339209193738</v>
      </c>
      <c r="R11" s="11">
        <f>IF(R10&gt;0,R10*Assumptions!$B$70,0)</f>
        <v>12.364173741073637</v>
      </c>
    </row>
    <row r="12" spans="1:18" ht="15" customHeight="1" x14ac:dyDescent="0.3">
      <c r="A12" s="5" t="s">
        <v>180</v>
      </c>
      <c r="B12" s="11">
        <f t="shared" ref="B12:R12" si="3">B10-B11</f>
        <v>0</v>
      </c>
      <c r="C12" s="11">
        <f t="shared" si="3"/>
        <v>0</v>
      </c>
      <c r="D12" s="11">
        <f t="shared" si="3"/>
        <v>5.3094366714940753</v>
      </c>
      <c r="E12" s="11">
        <f t="shared" si="3"/>
        <v>6.1456191160930045</v>
      </c>
      <c r="F12" s="11">
        <f t="shared" si="3"/>
        <v>19.085473535742167</v>
      </c>
      <c r="G12" s="11">
        <f t="shared" si="3"/>
        <v>20.804537387407159</v>
      </c>
      <c r="H12" s="11">
        <f t="shared" si="3"/>
        <v>22.287892960223402</v>
      </c>
      <c r="I12" s="11">
        <f t="shared" si="3"/>
        <v>27.398589969471931</v>
      </c>
      <c r="J12" s="11">
        <f t="shared" si="3"/>
        <v>28.976264475419754</v>
      </c>
      <c r="K12" s="11">
        <f t="shared" si="3"/>
        <v>29.090537788454526</v>
      </c>
      <c r="L12" s="11">
        <f t="shared" si="3"/>
        <v>30.768011995948473</v>
      </c>
      <c r="M12" s="11">
        <f t="shared" si="3"/>
        <v>30.876597364604823</v>
      </c>
      <c r="N12" s="11">
        <f t="shared" si="3"/>
        <v>32.659598341735581</v>
      </c>
      <c r="O12" s="11">
        <f t="shared" si="3"/>
        <v>32.760589031000514</v>
      </c>
      <c r="P12" s="11">
        <f t="shared" si="3"/>
        <v>34.655090020293898</v>
      </c>
      <c r="Q12" s="11">
        <f t="shared" si="3"/>
        <v>34.746269091138956</v>
      </c>
      <c r="R12" s="11">
        <f t="shared" si="3"/>
        <v>36.75848712930236</v>
      </c>
    </row>
    <row r="13" spans="1:18" ht="15" customHeight="1" x14ac:dyDescent="0.3">
      <c r="A13" s="5" t="s">
        <v>181</v>
      </c>
      <c r="B13" s="11">
        <f>IF(AND(Timeline!B8=1,B12&gt;0),B12*Assumptions!$B$74,0)</f>
        <v>0</v>
      </c>
      <c r="C13" s="11">
        <f>IF(AND(Timeline!C8=1,C12&gt;0),C12*Assumptions!$B$74,0)</f>
        <v>0</v>
      </c>
      <c r="D13" s="11">
        <f>IF(AND(Timeline!D8=1,D12&gt;0),D12*Assumptions!$B$74,0)</f>
        <v>4.2475493371952604</v>
      </c>
      <c r="E13" s="11">
        <f>IF(AND(Timeline!E8=1,E12&gt;0),E12*Assumptions!$B$74,0)</f>
        <v>4.9164952928744041</v>
      </c>
      <c r="F13" s="11">
        <f>IF(AND(Timeline!F8=1,F12&gt;0),F12*Assumptions!$B$74,0)</f>
        <v>15.268378828593734</v>
      </c>
      <c r="G13" s="11">
        <f>IF(AND(Timeline!G8=1,G12&gt;0),G12*Assumptions!$B$74,0)</f>
        <v>16.643629909925728</v>
      </c>
      <c r="H13" s="11">
        <f>IF(AND(Timeline!H8=1,H12&gt;0),H12*Assumptions!$B$74,0)</f>
        <v>17.830314368178723</v>
      </c>
      <c r="I13" s="11">
        <f>IF(AND(Timeline!I8=1,I12&gt;0),I12*Assumptions!$B$74,0)</f>
        <v>21.918871975577545</v>
      </c>
      <c r="J13" s="11">
        <f>IF(AND(Timeline!J8=1,J12&gt;0),J12*Assumptions!$B$74,0)</f>
        <v>23.181011580335806</v>
      </c>
      <c r="K13" s="11">
        <f>IF(AND(Timeline!K8=1,K12&gt;0),K12*Assumptions!$B$74,0)</f>
        <v>23.272430230763621</v>
      </c>
      <c r="L13" s="11">
        <f>IF(AND(Timeline!L8=1,L12&gt;0),L12*Assumptions!$B$74,0)</f>
        <v>24.614409596758779</v>
      </c>
      <c r="M13" s="11">
        <f>IF(AND(Timeline!M8=1,M12&gt;0),M12*Assumptions!$B$74,0)</f>
        <v>24.701277891683858</v>
      </c>
      <c r="N13" s="11">
        <f>IF(AND(Timeline!N8=1,N12&gt;0),N12*Assumptions!$B$74,0)</f>
        <v>26.127678673388466</v>
      </c>
      <c r="O13" s="11">
        <f>IF(AND(Timeline!O8=1,O12&gt;0),O12*Assumptions!$B$74,0)</f>
        <v>26.208471224800412</v>
      </c>
      <c r="P13" s="11">
        <f>IF(AND(Timeline!P8=1,P12&gt;0),P12*Assumptions!$B$74,0)</f>
        <v>27.72407201623512</v>
      </c>
      <c r="Q13" s="11">
        <f>IF(AND(Timeline!Q8=1,Q12&gt;0),Q12*Assumptions!$B$74,0)</f>
        <v>27.797015272911167</v>
      </c>
      <c r="R13" s="11">
        <f>IF(AND(Timeline!R8=1,R12&gt;0),R12*Assumptions!$B$74,0)</f>
        <v>29.406789703441888</v>
      </c>
    </row>
    <row r="14" spans="1:18" ht="15" customHeight="1" x14ac:dyDescent="0.3">
      <c r="A14" s="5" t="s">
        <v>182</v>
      </c>
      <c r="B14" s="11">
        <f t="shared" ref="B14:R14" si="4">B12-B13</f>
        <v>0</v>
      </c>
      <c r="C14" s="11">
        <f t="shared" si="4"/>
        <v>0</v>
      </c>
      <c r="D14" s="11">
        <f t="shared" si="4"/>
        <v>1.0618873342988149</v>
      </c>
      <c r="E14" s="11">
        <f t="shared" si="4"/>
        <v>1.2291238232186004</v>
      </c>
      <c r="F14" s="11">
        <f t="shared" si="4"/>
        <v>3.8170947071484331</v>
      </c>
      <c r="G14" s="11">
        <f t="shared" si="4"/>
        <v>4.1609074774814303</v>
      </c>
      <c r="H14" s="11">
        <f t="shared" si="4"/>
        <v>4.4575785920446798</v>
      </c>
      <c r="I14" s="11">
        <f t="shared" si="4"/>
        <v>5.4797179938943863</v>
      </c>
      <c r="J14" s="11">
        <f t="shared" si="4"/>
        <v>5.7952528950839479</v>
      </c>
      <c r="K14" s="11">
        <f t="shared" si="4"/>
        <v>5.8181075576909045</v>
      </c>
      <c r="L14" s="11">
        <f t="shared" si="4"/>
        <v>6.153602399189694</v>
      </c>
      <c r="M14" s="11">
        <f t="shared" si="4"/>
        <v>6.1753194729209646</v>
      </c>
      <c r="N14" s="11">
        <f t="shared" si="4"/>
        <v>6.5319196683471148</v>
      </c>
      <c r="O14" s="11">
        <f t="shared" si="4"/>
        <v>6.5521178062001013</v>
      </c>
      <c r="P14" s="11">
        <f t="shared" si="4"/>
        <v>6.9310180040587781</v>
      </c>
      <c r="Q14" s="11">
        <f t="shared" si="4"/>
        <v>6.9492538182277883</v>
      </c>
      <c r="R14" s="11">
        <f t="shared" si="4"/>
        <v>7.3516974258604719</v>
      </c>
    </row>
    <row r="16" spans="1:18" ht="15" customHeight="1" x14ac:dyDescent="0.3">
      <c r="A16" s="7" t="s">
        <v>183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5" customHeight="1" x14ac:dyDescent="0.3">
      <c r="A17" s="5" t="s">
        <v>184</v>
      </c>
      <c r="B17" s="11">
        <f t="shared" ref="B17:R17" si="5">B12</f>
        <v>0</v>
      </c>
      <c r="C17" s="11">
        <f t="shared" si="5"/>
        <v>0</v>
      </c>
      <c r="D17" s="11">
        <f t="shared" si="5"/>
        <v>5.3094366714940753</v>
      </c>
      <c r="E17" s="11">
        <f t="shared" si="5"/>
        <v>6.1456191160930045</v>
      </c>
      <c r="F17" s="11">
        <f t="shared" si="5"/>
        <v>19.085473535742167</v>
      </c>
      <c r="G17" s="11">
        <f t="shared" si="5"/>
        <v>20.804537387407159</v>
      </c>
      <c r="H17" s="11">
        <f t="shared" si="5"/>
        <v>22.287892960223402</v>
      </c>
      <c r="I17" s="11">
        <f t="shared" si="5"/>
        <v>27.398589969471931</v>
      </c>
      <c r="J17" s="11">
        <f t="shared" si="5"/>
        <v>28.976264475419754</v>
      </c>
      <c r="K17" s="11">
        <f t="shared" si="5"/>
        <v>29.090537788454526</v>
      </c>
      <c r="L17" s="11">
        <f t="shared" si="5"/>
        <v>30.768011995948473</v>
      </c>
      <c r="M17" s="11">
        <f t="shared" si="5"/>
        <v>30.876597364604823</v>
      </c>
      <c r="N17" s="11">
        <f t="shared" si="5"/>
        <v>32.659598341735581</v>
      </c>
      <c r="O17" s="11">
        <f t="shared" si="5"/>
        <v>32.760589031000514</v>
      </c>
      <c r="P17" s="11">
        <f t="shared" si="5"/>
        <v>34.655090020293898</v>
      </c>
      <c r="Q17" s="11">
        <f t="shared" si="5"/>
        <v>34.746269091138956</v>
      </c>
      <c r="R17" s="11">
        <f t="shared" si="5"/>
        <v>36.75848712930236</v>
      </c>
    </row>
    <row r="18" spans="1:18" ht="15" customHeight="1" x14ac:dyDescent="0.3">
      <c r="A18" s="5" t="s">
        <v>185</v>
      </c>
      <c r="B18" s="11">
        <f>Capex_Depr!B18</f>
        <v>0</v>
      </c>
      <c r="C18" s="11">
        <f>Capex_Depr!C18</f>
        <v>0</v>
      </c>
      <c r="D18" s="11">
        <f>Capex_Depr!D18</f>
        <v>6.671616470588237</v>
      </c>
      <c r="E18" s="11">
        <f>Capex_Depr!E18</f>
        <v>6.671616470588237</v>
      </c>
      <c r="F18" s="11">
        <f>Capex_Depr!F18</f>
        <v>6.671616470588237</v>
      </c>
      <c r="G18" s="11">
        <f>Capex_Depr!G18</f>
        <v>6.671616470588237</v>
      </c>
      <c r="H18" s="11">
        <f>Capex_Depr!H18</f>
        <v>6.671616470588237</v>
      </c>
      <c r="I18" s="11">
        <f>Capex_Depr!I18</f>
        <v>0</v>
      </c>
      <c r="J18" s="11">
        <f>Capex_Depr!J18</f>
        <v>0</v>
      </c>
      <c r="K18" s="11">
        <f>Capex_Depr!K18</f>
        <v>0</v>
      </c>
      <c r="L18" s="11">
        <f>Capex_Depr!L18</f>
        <v>0</v>
      </c>
      <c r="M18" s="11">
        <f>Capex_Depr!M18</f>
        <v>0</v>
      </c>
      <c r="N18" s="11">
        <f>Capex_Depr!N18</f>
        <v>0</v>
      </c>
      <c r="O18" s="11">
        <f>Capex_Depr!O18</f>
        <v>0</v>
      </c>
      <c r="P18" s="11">
        <f>Capex_Depr!P18</f>
        <v>0</v>
      </c>
      <c r="Q18" s="11">
        <f>Capex_Depr!Q18</f>
        <v>0</v>
      </c>
      <c r="R18" s="11">
        <f>Capex_Depr!R18</f>
        <v>0</v>
      </c>
    </row>
    <row r="19" spans="1:18" ht="15" customHeight="1" x14ac:dyDescent="0.3">
      <c r="A19" s="5" t="s">
        <v>173</v>
      </c>
      <c r="B19" s="13">
        <f>Working_Capital!B11</f>
        <v>0</v>
      </c>
      <c r="C19" s="13">
        <f>Working_Capital!C11</f>
        <v>0</v>
      </c>
      <c r="D19" s="13">
        <f>Working_Capital!D11</f>
        <v>-6.2581428203061904</v>
      </c>
      <c r="E19" s="13">
        <f>Working_Capital!E11</f>
        <v>-0.10486933827558342</v>
      </c>
      <c r="F19" s="13">
        <f>Working_Capital!F11</f>
        <v>-2.9006636704237225</v>
      </c>
      <c r="G19" s="13">
        <f>Working_Capital!G11</f>
        <v>-0.16371584321991328</v>
      </c>
      <c r="H19" s="13">
        <f>Working_Capital!H11</f>
        <v>-0.48680336022746751</v>
      </c>
      <c r="I19" s="13">
        <f>Working_Capital!I11</f>
        <v>-0.17481817100455288</v>
      </c>
      <c r="J19" s="13">
        <f>Working_Capital!J11</f>
        <v>-0.52101039495597412</v>
      </c>
      <c r="K19" s="13">
        <f>Working_Capital!K11</f>
        <v>-0.18664929698678456</v>
      </c>
      <c r="L19" s="13">
        <f>Working_Capital!L11</f>
        <v>-0.55759711906598319</v>
      </c>
      <c r="M19" s="13">
        <f>Working_Capital!M11</f>
        <v>-0.19925382929850066</v>
      </c>
      <c r="N19" s="13">
        <f>Working_Capital!N11</f>
        <v>-0.59672591831315458</v>
      </c>
      <c r="O19" s="13">
        <f>Working_Capital!O11</f>
        <v>-0.21267865127817309</v>
      </c>
      <c r="P19" s="13">
        <f>Working_Capital!P11</f>
        <v>-0.63856983168168391</v>
      </c>
      <c r="Q19" s="13">
        <f>Working_Capital!Q11</f>
        <v>-0.22697296833534253</v>
      </c>
      <c r="R19" s="13">
        <f>Working_Capital!R11</f>
        <v>-0.68331319093283582</v>
      </c>
    </row>
    <row r="20" spans="1:18" ht="15" customHeight="1" x14ac:dyDescent="0.3">
      <c r="A20" s="5" t="s">
        <v>186</v>
      </c>
      <c r="B20" s="11">
        <f t="shared" ref="B20:R20" si="6">B17+B18+B19</f>
        <v>0</v>
      </c>
      <c r="C20" s="11">
        <f t="shared" si="6"/>
        <v>0</v>
      </c>
      <c r="D20" s="11">
        <f t="shared" si="6"/>
        <v>5.7229103217761228</v>
      </c>
      <c r="E20" s="11">
        <f t="shared" si="6"/>
        <v>12.712366248405658</v>
      </c>
      <c r="F20" s="11">
        <f t="shared" si="6"/>
        <v>22.856426335906683</v>
      </c>
      <c r="G20" s="11">
        <f t="shared" si="6"/>
        <v>27.312438014775481</v>
      </c>
      <c r="H20" s="11">
        <f t="shared" si="6"/>
        <v>28.472706070584174</v>
      </c>
      <c r="I20" s="11">
        <f t="shared" si="6"/>
        <v>27.223771798467379</v>
      </c>
      <c r="J20" s="11">
        <f t="shared" si="6"/>
        <v>28.455254080463781</v>
      </c>
      <c r="K20" s="11">
        <f t="shared" si="6"/>
        <v>28.90388849146774</v>
      </c>
      <c r="L20" s="11">
        <f t="shared" si="6"/>
        <v>30.210414876882488</v>
      </c>
      <c r="M20" s="11">
        <f t="shared" si="6"/>
        <v>30.677343535306321</v>
      </c>
      <c r="N20" s="11">
        <f t="shared" si="6"/>
        <v>32.062872423422426</v>
      </c>
      <c r="O20" s="11">
        <f t="shared" si="6"/>
        <v>32.547910379722339</v>
      </c>
      <c r="P20" s="11">
        <f t="shared" si="6"/>
        <v>34.016520188612212</v>
      </c>
      <c r="Q20" s="11">
        <f t="shared" si="6"/>
        <v>34.51929612280361</v>
      </c>
      <c r="R20" s="11">
        <f t="shared" si="6"/>
        <v>36.075173938369524</v>
      </c>
    </row>
    <row r="21" spans="1:18" ht="15" customHeight="1" x14ac:dyDescent="0.3">
      <c r="A21" s="5" t="s">
        <v>187</v>
      </c>
      <c r="B21" s="13">
        <f>-Capex_Depr!B6</f>
        <v>-44.705882352941202</v>
      </c>
      <c r="C21" s="13">
        <f>-Capex_Depr!C6</f>
        <v>-5.8823529411764701</v>
      </c>
      <c r="D21" s="13">
        <f>-Capex_Depr!D6</f>
        <v>0</v>
      </c>
      <c r="E21" s="13">
        <f>-Capex_Depr!E6</f>
        <v>0</v>
      </c>
      <c r="F21" s="13">
        <f>-Capex_Depr!F6</f>
        <v>0</v>
      </c>
      <c r="G21" s="13">
        <f>-Capex_Depr!G6</f>
        <v>0</v>
      </c>
      <c r="H21" s="13">
        <f>-Capex_Depr!H6</f>
        <v>0</v>
      </c>
      <c r="I21" s="13">
        <f>-Capex_Depr!I6</f>
        <v>0</v>
      </c>
      <c r="J21" s="13">
        <f>-Capex_Depr!J6</f>
        <v>0</v>
      </c>
      <c r="K21" s="13">
        <f>-Capex_Depr!K6</f>
        <v>0</v>
      </c>
      <c r="L21" s="13">
        <f>-Capex_Depr!L6</f>
        <v>0</v>
      </c>
      <c r="M21" s="13">
        <f>-Capex_Depr!M6</f>
        <v>0</v>
      </c>
      <c r="N21" s="13">
        <f>-Capex_Depr!N6</f>
        <v>0</v>
      </c>
      <c r="O21" s="13">
        <f>-Capex_Depr!O6</f>
        <v>0</v>
      </c>
      <c r="P21" s="13">
        <f>-Capex_Depr!P6</f>
        <v>0</v>
      </c>
      <c r="Q21" s="13">
        <f>-Capex_Depr!Q6</f>
        <v>0</v>
      </c>
      <c r="R21" s="13">
        <f>-Capex_Depr!R6</f>
        <v>0</v>
      </c>
    </row>
    <row r="22" spans="1:18" ht="15" customHeight="1" x14ac:dyDescent="0.3">
      <c r="A22" s="5" t="s">
        <v>188</v>
      </c>
      <c r="B22" s="11">
        <f t="shared" ref="B22:R22" si="7">B21</f>
        <v>-44.705882352941202</v>
      </c>
      <c r="C22" s="11">
        <f t="shared" si="7"/>
        <v>-5.8823529411764701</v>
      </c>
      <c r="D22" s="11">
        <f t="shared" si="7"/>
        <v>0</v>
      </c>
      <c r="E22" s="11">
        <f t="shared" si="7"/>
        <v>0</v>
      </c>
      <c r="F22" s="11">
        <f t="shared" si="7"/>
        <v>0</v>
      </c>
      <c r="G22" s="11">
        <f t="shared" si="7"/>
        <v>0</v>
      </c>
      <c r="H22" s="11">
        <f t="shared" si="7"/>
        <v>0</v>
      </c>
      <c r="I22" s="11">
        <f t="shared" si="7"/>
        <v>0</v>
      </c>
      <c r="J22" s="11">
        <f t="shared" si="7"/>
        <v>0</v>
      </c>
      <c r="K22" s="11">
        <f t="shared" si="7"/>
        <v>0</v>
      </c>
      <c r="L22" s="11">
        <f t="shared" si="7"/>
        <v>0</v>
      </c>
      <c r="M22" s="11">
        <f t="shared" si="7"/>
        <v>0</v>
      </c>
      <c r="N22" s="11">
        <f t="shared" si="7"/>
        <v>0</v>
      </c>
      <c r="O22" s="11">
        <f t="shared" si="7"/>
        <v>0</v>
      </c>
      <c r="P22" s="11">
        <f t="shared" si="7"/>
        <v>0</v>
      </c>
      <c r="Q22" s="11">
        <f t="shared" si="7"/>
        <v>0</v>
      </c>
      <c r="R22" s="11">
        <f t="shared" si="7"/>
        <v>0</v>
      </c>
    </row>
    <row r="23" spans="1:18" ht="15" customHeight="1" x14ac:dyDescent="0.3">
      <c r="A23" s="5" t="s">
        <v>189</v>
      </c>
      <c r="B23" s="13">
        <f>Financing!B10</f>
        <v>26.823529411764721</v>
      </c>
      <c r="C23" s="13">
        <f>Financing!C10</f>
        <v>3.5294117647058818</v>
      </c>
      <c r="D23" s="13">
        <f>Financing!D10</f>
        <v>0</v>
      </c>
      <c r="E23" s="13">
        <f>Financing!E10</f>
        <v>0</v>
      </c>
      <c r="F23" s="13">
        <f>Financing!F10</f>
        <v>0</v>
      </c>
      <c r="G23" s="13">
        <f>Financing!G10</f>
        <v>0</v>
      </c>
      <c r="H23" s="13">
        <f>Financing!H10</f>
        <v>0</v>
      </c>
      <c r="I23" s="13">
        <f>Financing!I10</f>
        <v>0</v>
      </c>
      <c r="J23" s="13">
        <f>Financing!J10</f>
        <v>0</v>
      </c>
      <c r="K23" s="13">
        <f>Financing!K10</f>
        <v>0</v>
      </c>
      <c r="L23" s="13">
        <f>Financing!L10</f>
        <v>0</v>
      </c>
      <c r="M23" s="13">
        <f>Financing!M10</f>
        <v>0</v>
      </c>
      <c r="N23" s="13">
        <f>Financing!N10</f>
        <v>0</v>
      </c>
      <c r="O23" s="13">
        <f>Financing!O10</f>
        <v>0</v>
      </c>
      <c r="P23" s="13">
        <f>Financing!P10</f>
        <v>0</v>
      </c>
      <c r="Q23" s="13">
        <f>Financing!Q10</f>
        <v>0</v>
      </c>
      <c r="R23" s="13">
        <f>Financing!R10</f>
        <v>0</v>
      </c>
    </row>
    <row r="24" spans="1:18" ht="15" customHeight="1" x14ac:dyDescent="0.3">
      <c r="A24" s="5" t="s">
        <v>190</v>
      </c>
      <c r="B24" s="13">
        <f>-Financing!B12</f>
        <v>0</v>
      </c>
      <c r="C24" s="13">
        <f>-Financing!C12</f>
        <v>0</v>
      </c>
      <c r="D24" s="13">
        <f>-Financing!D12</f>
        <v>-9.5432081176470156</v>
      </c>
      <c r="E24" s="13">
        <f>-Financing!E12</f>
        <v>-10.681179957254843</v>
      </c>
      <c r="F24" s="13">
        <f>-Financing!F12</f>
        <v>-16.427811925098155</v>
      </c>
      <c r="G24" s="13">
        <f>-Financing!G12</f>
        <v>0</v>
      </c>
      <c r="H24" s="13">
        <f>-Financing!H12</f>
        <v>0</v>
      </c>
      <c r="I24" s="13">
        <f>-Financing!I12</f>
        <v>0</v>
      </c>
      <c r="J24" s="13">
        <f>-Financing!J12</f>
        <v>0</v>
      </c>
      <c r="K24" s="13">
        <f>-Financing!K12</f>
        <v>0</v>
      </c>
      <c r="L24" s="13">
        <f>-Financing!L12</f>
        <v>0</v>
      </c>
      <c r="M24" s="13">
        <f>-Financing!M12</f>
        <v>0</v>
      </c>
      <c r="N24" s="13">
        <f>-Financing!N12</f>
        <v>0</v>
      </c>
      <c r="O24" s="13">
        <f>-Financing!O12</f>
        <v>0</v>
      </c>
      <c r="P24" s="13">
        <f>-Financing!P12</f>
        <v>0</v>
      </c>
      <c r="Q24" s="13">
        <f>-Financing!Q12</f>
        <v>0</v>
      </c>
      <c r="R24" s="13">
        <f>-Financing!R12</f>
        <v>0</v>
      </c>
    </row>
    <row r="25" spans="1:18" ht="15" customHeight="1" x14ac:dyDescent="0.3">
      <c r="A25" s="5" t="s">
        <v>191</v>
      </c>
      <c r="B25" s="13">
        <f>Financing!B6</f>
        <v>17.882352941176482</v>
      </c>
      <c r="C25" s="13">
        <f>Financing!C6</f>
        <v>2.3529411764705883</v>
      </c>
      <c r="D25" s="13">
        <f>Financing!D6</f>
        <v>0</v>
      </c>
      <c r="E25" s="13">
        <f>Financing!E6</f>
        <v>0</v>
      </c>
      <c r="F25" s="13">
        <f>Financing!F6</f>
        <v>0</v>
      </c>
      <c r="G25" s="13">
        <f>Financing!G6</f>
        <v>0</v>
      </c>
      <c r="H25" s="13">
        <f>Financing!H6</f>
        <v>0</v>
      </c>
      <c r="I25" s="13">
        <f>Financing!I6</f>
        <v>0</v>
      </c>
      <c r="J25" s="13">
        <f>Financing!J6</f>
        <v>0</v>
      </c>
      <c r="K25" s="13">
        <f>Financing!K6</f>
        <v>0</v>
      </c>
      <c r="L25" s="13">
        <f>Financing!L6</f>
        <v>0</v>
      </c>
      <c r="M25" s="13">
        <f>Financing!M6</f>
        <v>0</v>
      </c>
      <c r="N25" s="13">
        <f>Financing!N6</f>
        <v>0</v>
      </c>
      <c r="O25" s="13">
        <f>Financing!O6</f>
        <v>0</v>
      </c>
      <c r="P25" s="13">
        <f>Financing!P6</f>
        <v>0</v>
      </c>
      <c r="Q25" s="13">
        <f>Financing!Q6</f>
        <v>0</v>
      </c>
      <c r="R25" s="13">
        <f>Financing!R6</f>
        <v>0</v>
      </c>
    </row>
    <row r="26" spans="1:18" ht="15" customHeight="1" x14ac:dyDescent="0.3">
      <c r="A26" s="5" t="s">
        <v>192</v>
      </c>
      <c r="B26" s="11">
        <f>0</f>
        <v>0</v>
      </c>
      <c r="C26" s="11">
        <f>0</f>
        <v>0</v>
      </c>
      <c r="D26" s="11">
        <f>0</f>
        <v>0</v>
      </c>
      <c r="E26" s="11">
        <f>0</f>
        <v>0</v>
      </c>
      <c r="F26" s="11">
        <f>0</f>
        <v>0</v>
      </c>
      <c r="G26" s="11">
        <f>0</f>
        <v>0</v>
      </c>
      <c r="H26" s="11">
        <f>0</f>
        <v>0</v>
      </c>
      <c r="I26" s="11">
        <f>0</f>
        <v>0</v>
      </c>
      <c r="J26" s="11">
        <f>0</f>
        <v>0</v>
      </c>
      <c r="K26" s="11">
        <f>0</f>
        <v>0</v>
      </c>
      <c r="L26" s="11">
        <f>0</f>
        <v>0</v>
      </c>
      <c r="M26" s="11">
        <f>0</f>
        <v>0</v>
      </c>
      <c r="N26" s="11">
        <f>0</f>
        <v>0</v>
      </c>
      <c r="O26" s="11">
        <f>0</f>
        <v>0</v>
      </c>
      <c r="P26" s="11">
        <f>0</f>
        <v>0</v>
      </c>
      <c r="Q26" s="11">
        <f>0</f>
        <v>0</v>
      </c>
      <c r="R26" s="11">
        <f>0</f>
        <v>0</v>
      </c>
    </row>
    <row r="27" spans="1:18" ht="15" customHeight="1" x14ac:dyDescent="0.3">
      <c r="A27" s="5" t="s">
        <v>193</v>
      </c>
      <c r="B27" s="11">
        <f t="shared" ref="B27:R27" si="8">-B13</f>
        <v>0</v>
      </c>
      <c r="C27" s="11">
        <f t="shared" si="8"/>
        <v>0</v>
      </c>
      <c r="D27" s="11">
        <f t="shared" si="8"/>
        <v>-4.2475493371952604</v>
      </c>
      <c r="E27" s="11">
        <f t="shared" si="8"/>
        <v>-4.9164952928744041</v>
      </c>
      <c r="F27" s="11">
        <f t="shared" si="8"/>
        <v>-15.268378828593734</v>
      </c>
      <c r="G27" s="11">
        <f t="shared" si="8"/>
        <v>-16.643629909925728</v>
      </c>
      <c r="H27" s="11">
        <f t="shared" si="8"/>
        <v>-17.830314368178723</v>
      </c>
      <c r="I27" s="11">
        <f t="shared" si="8"/>
        <v>-21.918871975577545</v>
      </c>
      <c r="J27" s="11">
        <f t="shared" si="8"/>
        <v>-23.181011580335806</v>
      </c>
      <c r="K27" s="11">
        <f t="shared" si="8"/>
        <v>-23.272430230763621</v>
      </c>
      <c r="L27" s="11">
        <f t="shared" si="8"/>
        <v>-24.614409596758779</v>
      </c>
      <c r="M27" s="11">
        <f t="shared" si="8"/>
        <v>-24.701277891683858</v>
      </c>
      <c r="N27" s="11">
        <f t="shared" si="8"/>
        <v>-26.127678673388466</v>
      </c>
      <c r="O27" s="11">
        <f t="shared" si="8"/>
        <v>-26.208471224800412</v>
      </c>
      <c r="P27" s="11">
        <f t="shared" si="8"/>
        <v>-27.72407201623512</v>
      </c>
      <c r="Q27" s="11">
        <f t="shared" si="8"/>
        <v>-27.797015272911167</v>
      </c>
      <c r="R27" s="11">
        <f t="shared" si="8"/>
        <v>-29.406789703441888</v>
      </c>
    </row>
    <row r="28" spans="1:18" ht="15" customHeight="1" x14ac:dyDescent="0.3">
      <c r="A28" s="5" t="s">
        <v>194</v>
      </c>
      <c r="B28" s="11">
        <f t="shared" ref="B28:R28" si="9">B23+B24+B25+B26+B27</f>
        <v>44.705882352941202</v>
      </c>
      <c r="C28" s="11">
        <f t="shared" si="9"/>
        <v>5.8823529411764701</v>
      </c>
      <c r="D28" s="11">
        <f t="shared" si="9"/>
        <v>-13.790757454842275</v>
      </c>
      <c r="E28" s="11">
        <f t="shared" si="9"/>
        <v>-15.597675250129246</v>
      </c>
      <c r="F28" s="11">
        <f t="shared" si="9"/>
        <v>-31.696190753691887</v>
      </c>
      <c r="G28" s="11">
        <f t="shared" si="9"/>
        <v>-16.643629909925728</v>
      </c>
      <c r="H28" s="11">
        <f t="shared" si="9"/>
        <v>-17.830314368178723</v>
      </c>
      <c r="I28" s="11">
        <f t="shared" si="9"/>
        <v>-21.918871975577545</v>
      </c>
      <c r="J28" s="11">
        <f t="shared" si="9"/>
        <v>-23.181011580335806</v>
      </c>
      <c r="K28" s="11">
        <f t="shared" si="9"/>
        <v>-23.272430230763621</v>
      </c>
      <c r="L28" s="11">
        <f t="shared" si="9"/>
        <v>-24.614409596758779</v>
      </c>
      <c r="M28" s="11">
        <f t="shared" si="9"/>
        <v>-24.701277891683858</v>
      </c>
      <c r="N28" s="11">
        <f t="shared" si="9"/>
        <v>-26.127678673388466</v>
      </c>
      <c r="O28" s="11">
        <f t="shared" si="9"/>
        <v>-26.208471224800412</v>
      </c>
      <c r="P28" s="11">
        <f t="shared" si="9"/>
        <v>-27.72407201623512</v>
      </c>
      <c r="Q28" s="11">
        <f t="shared" si="9"/>
        <v>-27.797015272911167</v>
      </c>
      <c r="R28" s="11">
        <f t="shared" si="9"/>
        <v>-29.406789703441888</v>
      </c>
    </row>
    <row r="29" spans="1:18" ht="15" customHeight="1" x14ac:dyDescent="0.3">
      <c r="A29" s="5" t="s">
        <v>195</v>
      </c>
      <c r="B29" s="11">
        <f t="shared" ref="B29:R29" si="10">B20+B22+B28</f>
        <v>0</v>
      </c>
      <c r="C29" s="11">
        <f t="shared" si="10"/>
        <v>0</v>
      </c>
      <c r="D29" s="11">
        <f t="shared" si="10"/>
        <v>-8.0678471330661523</v>
      </c>
      <c r="E29" s="11">
        <f t="shared" si="10"/>
        <v>-2.8853090017235878</v>
      </c>
      <c r="F29" s="11">
        <f t="shared" si="10"/>
        <v>-8.8397644177852044</v>
      </c>
      <c r="G29" s="11">
        <f t="shared" si="10"/>
        <v>10.668808104849752</v>
      </c>
      <c r="H29" s="11">
        <f t="shared" si="10"/>
        <v>10.642391702405451</v>
      </c>
      <c r="I29" s="11">
        <f t="shared" si="10"/>
        <v>5.3048998228898334</v>
      </c>
      <c r="J29" s="11">
        <f t="shared" si="10"/>
        <v>5.2742425001279756</v>
      </c>
      <c r="K29" s="11">
        <f t="shared" si="10"/>
        <v>5.6314582607041181</v>
      </c>
      <c r="L29" s="11">
        <f t="shared" si="10"/>
        <v>5.596005280123709</v>
      </c>
      <c r="M29" s="11">
        <f t="shared" si="10"/>
        <v>5.9760656436224622</v>
      </c>
      <c r="N29" s="11">
        <f t="shared" si="10"/>
        <v>5.9351937500339602</v>
      </c>
      <c r="O29" s="11">
        <f t="shared" si="10"/>
        <v>6.3394391549219264</v>
      </c>
      <c r="P29" s="11">
        <f t="shared" si="10"/>
        <v>6.2924481723770924</v>
      </c>
      <c r="Q29" s="11">
        <f t="shared" si="10"/>
        <v>6.7222808498924422</v>
      </c>
      <c r="R29" s="11">
        <f t="shared" si="10"/>
        <v>6.6683842349276361</v>
      </c>
    </row>
    <row r="30" spans="1:18" ht="15" customHeight="1" x14ac:dyDescent="0.3">
      <c r="A30" s="5" t="s">
        <v>196</v>
      </c>
      <c r="B30" s="11">
        <f>0</f>
        <v>0</v>
      </c>
      <c r="C30" s="11">
        <f t="shared" ref="C30:R30" si="11">B31</f>
        <v>0</v>
      </c>
      <c r="D30" s="11">
        <f t="shared" si="11"/>
        <v>0</v>
      </c>
      <c r="E30" s="11">
        <f t="shared" si="11"/>
        <v>-8.0678471330661523</v>
      </c>
      <c r="F30" s="11">
        <f t="shared" si="11"/>
        <v>-10.95315613478974</v>
      </c>
      <c r="G30" s="11">
        <f t="shared" si="11"/>
        <v>-19.792920552574945</v>
      </c>
      <c r="H30" s="11">
        <f t="shared" si="11"/>
        <v>-9.1241124477251923</v>
      </c>
      <c r="I30" s="11">
        <f t="shared" si="11"/>
        <v>1.5182792546802588</v>
      </c>
      <c r="J30" s="11">
        <f t="shared" si="11"/>
        <v>6.8231790775700922</v>
      </c>
      <c r="K30" s="11">
        <f t="shared" si="11"/>
        <v>12.097421577698068</v>
      </c>
      <c r="L30" s="11">
        <f t="shared" si="11"/>
        <v>17.728879838402186</v>
      </c>
      <c r="M30" s="11">
        <f t="shared" si="11"/>
        <v>23.324885118525895</v>
      </c>
      <c r="N30" s="11">
        <f t="shared" si="11"/>
        <v>29.300950762148357</v>
      </c>
      <c r="O30" s="11">
        <f t="shared" si="11"/>
        <v>35.236144512182321</v>
      </c>
      <c r="P30" s="11">
        <f t="shared" si="11"/>
        <v>41.575583667104247</v>
      </c>
      <c r="Q30" s="11">
        <f t="shared" si="11"/>
        <v>47.86803183948134</v>
      </c>
      <c r="R30" s="11">
        <f t="shared" si="11"/>
        <v>54.590312689373782</v>
      </c>
    </row>
    <row r="31" spans="1:18" ht="15" customHeight="1" x14ac:dyDescent="0.3">
      <c r="A31" s="5" t="s">
        <v>197</v>
      </c>
      <c r="B31" s="11">
        <f t="shared" ref="B31:R31" si="12">B30+B29</f>
        <v>0</v>
      </c>
      <c r="C31" s="11">
        <f t="shared" si="12"/>
        <v>0</v>
      </c>
      <c r="D31" s="11">
        <f t="shared" si="12"/>
        <v>-8.0678471330661523</v>
      </c>
      <c r="E31" s="11">
        <f t="shared" si="12"/>
        <v>-10.95315613478974</v>
      </c>
      <c r="F31" s="11">
        <f t="shared" si="12"/>
        <v>-19.792920552574945</v>
      </c>
      <c r="G31" s="11">
        <f t="shared" si="12"/>
        <v>-9.1241124477251923</v>
      </c>
      <c r="H31" s="11">
        <f t="shared" si="12"/>
        <v>1.5182792546802588</v>
      </c>
      <c r="I31" s="11">
        <f t="shared" si="12"/>
        <v>6.8231790775700922</v>
      </c>
      <c r="J31" s="11">
        <f t="shared" si="12"/>
        <v>12.097421577698068</v>
      </c>
      <c r="K31" s="11">
        <f t="shared" si="12"/>
        <v>17.728879838402186</v>
      </c>
      <c r="L31" s="11">
        <f t="shared" si="12"/>
        <v>23.324885118525895</v>
      </c>
      <c r="M31" s="11">
        <f t="shared" si="12"/>
        <v>29.300950762148357</v>
      </c>
      <c r="N31" s="11">
        <f t="shared" si="12"/>
        <v>35.236144512182321</v>
      </c>
      <c r="O31" s="11">
        <f t="shared" si="12"/>
        <v>41.575583667104247</v>
      </c>
      <c r="P31" s="11">
        <f t="shared" si="12"/>
        <v>47.86803183948134</v>
      </c>
      <c r="Q31" s="11">
        <f t="shared" si="12"/>
        <v>54.590312689373782</v>
      </c>
      <c r="R31" s="11">
        <f t="shared" si="12"/>
        <v>61.258696924301418</v>
      </c>
    </row>
    <row r="33" spans="1:18" ht="15" customHeight="1" x14ac:dyDescent="0.3">
      <c r="A33" s="7" t="s">
        <v>198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 customHeight="1" x14ac:dyDescent="0.3">
      <c r="A34" s="5" t="s">
        <v>199</v>
      </c>
      <c r="B34" s="13">
        <f>Capex_Depr!B19</f>
        <v>47.5223529411765</v>
      </c>
      <c r="C34" s="13">
        <f>Capex_Depr!C19</f>
        <v>56.88749411764708</v>
      </c>
      <c r="D34" s="13">
        <f>Capex_Depr!D19</f>
        <v>50.215877647058839</v>
      </c>
      <c r="E34" s="13">
        <f>Capex_Depr!E19</f>
        <v>43.544261176470606</v>
      </c>
      <c r="F34" s="13">
        <f>Capex_Depr!F19</f>
        <v>36.872644705882372</v>
      </c>
      <c r="G34" s="13">
        <f>Capex_Depr!G19</f>
        <v>30.201028235294128</v>
      </c>
      <c r="H34" s="13">
        <f>Capex_Depr!H19</f>
        <v>23.529411764705895</v>
      </c>
      <c r="I34" s="13">
        <f>Capex_Depr!I19</f>
        <v>23.529411764705895</v>
      </c>
      <c r="J34" s="13">
        <f>Capex_Depr!J19</f>
        <v>23.529411764705895</v>
      </c>
      <c r="K34" s="13">
        <f>Capex_Depr!K19</f>
        <v>23.529411764705895</v>
      </c>
      <c r="L34" s="13">
        <f>Capex_Depr!L19</f>
        <v>23.529411764705895</v>
      </c>
      <c r="M34" s="13">
        <f>Capex_Depr!M19</f>
        <v>23.529411764705895</v>
      </c>
      <c r="N34" s="13">
        <f>Capex_Depr!N19</f>
        <v>23.529411764705895</v>
      </c>
      <c r="O34" s="13">
        <f>Capex_Depr!O19</f>
        <v>23.529411764705895</v>
      </c>
      <c r="P34" s="13">
        <f>Capex_Depr!P19</f>
        <v>23.529411764705895</v>
      </c>
      <c r="Q34" s="13">
        <f>Capex_Depr!Q19</f>
        <v>23.529411764705895</v>
      </c>
      <c r="R34" s="13">
        <f>Capex_Depr!R19</f>
        <v>23.529411764705895</v>
      </c>
    </row>
    <row r="35" spans="1:18" ht="15" customHeight="1" x14ac:dyDescent="0.3">
      <c r="A35" s="5" t="s">
        <v>200</v>
      </c>
      <c r="B35" s="13">
        <f>Working_Capital!B7</f>
        <v>0</v>
      </c>
      <c r="C35" s="13">
        <f>Working_Capital!C7</f>
        <v>0</v>
      </c>
      <c r="D35" s="13">
        <f>Working_Capital!D7</f>
        <v>8.2448470588235114</v>
      </c>
      <c r="E35" s="13">
        <f>Working_Capital!E7</f>
        <v>8.4097439999999821</v>
      </c>
      <c r="F35" s="13">
        <f>Working_Capital!F7</f>
        <v>11.78036939519998</v>
      </c>
      <c r="G35" s="13">
        <f>Working_Capital!G7</f>
        <v>12.015976783103977</v>
      </c>
      <c r="H35" s="13">
        <f>Working_Capital!H7</f>
        <v>12.623985208329033</v>
      </c>
      <c r="I35" s="13">
        <f>Working_Capital!I7</f>
        <v>12.876464912495615</v>
      </c>
      <c r="J35" s="13">
        <f>Working_Capital!J7</f>
        <v>13.5280140370679</v>
      </c>
      <c r="K35" s="13">
        <f>Working_Capital!K7</f>
        <v>13.798574317809255</v>
      </c>
      <c r="L35" s="13">
        <f>Working_Capital!L7</f>
        <v>14.496782178290397</v>
      </c>
      <c r="M35" s="13">
        <f>Working_Capital!M7</f>
        <v>14.786717821856207</v>
      </c>
      <c r="N35" s="13">
        <f>Working_Capital!N7</f>
        <v>15.53492574364213</v>
      </c>
      <c r="O35" s="13">
        <f>Working_Capital!O7</f>
        <v>15.84562425851497</v>
      </c>
      <c r="P35" s="13">
        <f>Working_Capital!P7</f>
        <v>16.647412845995831</v>
      </c>
      <c r="Q35" s="13">
        <f>Working_Capital!Q7</f>
        <v>16.980361102915744</v>
      </c>
      <c r="R35" s="13">
        <f>Working_Capital!R7</f>
        <v>17.839567374723284</v>
      </c>
    </row>
    <row r="36" spans="1:18" ht="15" customHeight="1" x14ac:dyDescent="0.3">
      <c r="A36" s="5" t="s">
        <v>170</v>
      </c>
      <c r="B36" s="13">
        <f>Working_Capital!B8</f>
        <v>0</v>
      </c>
      <c r="C36" s="13">
        <f>Working_Capital!C8</f>
        <v>0</v>
      </c>
      <c r="D36" s="13">
        <f>Working_Capital!D8</f>
        <v>1.986704238517321</v>
      </c>
      <c r="E36" s="13">
        <f>Working_Capital!E8</f>
        <v>2.0467318414182079</v>
      </c>
      <c r="F36" s="13">
        <f>Working_Capital!F8</f>
        <v>2.5166935661944838</v>
      </c>
      <c r="G36" s="13">
        <f>Working_Capital!G8</f>
        <v>2.5885851108785669</v>
      </c>
      <c r="H36" s="13">
        <f>Working_Capital!H8</f>
        <v>2.7097901758761549</v>
      </c>
      <c r="I36" s="13">
        <f>Working_Capital!I8</f>
        <v>2.7874517090381841</v>
      </c>
      <c r="J36" s="13">
        <f>Working_Capital!J8</f>
        <v>2.9179904386544946</v>
      </c>
      <c r="K36" s="13">
        <f>Working_Capital!K8</f>
        <v>3.0019014224090639</v>
      </c>
      <c r="L36" s="13">
        <f>Working_Capital!L8</f>
        <v>3.1425121638242244</v>
      </c>
      <c r="M36" s="13">
        <f>Working_Capital!M8</f>
        <v>3.2331939780915371</v>
      </c>
      <c r="N36" s="13">
        <f>Working_Capital!N8</f>
        <v>3.3846759815643037</v>
      </c>
      <c r="O36" s="13">
        <f>Working_Capital!O8</f>
        <v>3.4826958451589709</v>
      </c>
      <c r="P36" s="13">
        <f>Working_Capital!P8</f>
        <v>3.6459146009581449</v>
      </c>
      <c r="Q36" s="13">
        <f>Working_Capital!Q8</f>
        <v>3.7518898895427175</v>
      </c>
      <c r="R36" s="13">
        <f>Working_Capital!R8</f>
        <v>3.9277829704174239</v>
      </c>
    </row>
    <row r="37" spans="1:18" ht="15" customHeight="1" x14ac:dyDescent="0.3">
      <c r="A37" s="5" t="s">
        <v>201</v>
      </c>
      <c r="B37" s="11">
        <f t="shared" ref="B37:R37" si="13">B31</f>
        <v>0</v>
      </c>
      <c r="C37" s="11">
        <f t="shared" si="13"/>
        <v>0</v>
      </c>
      <c r="D37" s="11">
        <f t="shared" si="13"/>
        <v>-8.0678471330661523</v>
      </c>
      <c r="E37" s="11">
        <f t="shared" si="13"/>
        <v>-10.95315613478974</v>
      </c>
      <c r="F37" s="11">
        <f t="shared" si="13"/>
        <v>-19.792920552574945</v>
      </c>
      <c r="G37" s="11">
        <f t="shared" si="13"/>
        <v>-9.1241124477251923</v>
      </c>
      <c r="H37" s="11">
        <f t="shared" si="13"/>
        <v>1.5182792546802588</v>
      </c>
      <c r="I37" s="11">
        <f t="shared" si="13"/>
        <v>6.8231790775700922</v>
      </c>
      <c r="J37" s="11">
        <f t="shared" si="13"/>
        <v>12.097421577698068</v>
      </c>
      <c r="K37" s="11">
        <f t="shared" si="13"/>
        <v>17.728879838402186</v>
      </c>
      <c r="L37" s="11">
        <f t="shared" si="13"/>
        <v>23.324885118525895</v>
      </c>
      <c r="M37" s="11">
        <f t="shared" si="13"/>
        <v>29.300950762148357</v>
      </c>
      <c r="N37" s="11">
        <f t="shared" si="13"/>
        <v>35.236144512182321</v>
      </c>
      <c r="O37" s="11">
        <f t="shared" si="13"/>
        <v>41.575583667104247</v>
      </c>
      <c r="P37" s="11">
        <f t="shared" si="13"/>
        <v>47.86803183948134</v>
      </c>
      <c r="Q37" s="11">
        <f t="shared" si="13"/>
        <v>54.590312689373782</v>
      </c>
      <c r="R37" s="11">
        <f t="shared" si="13"/>
        <v>61.258696924301418</v>
      </c>
    </row>
    <row r="38" spans="1:18" ht="15" customHeight="1" x14ac:dyDescent="0.3">
      <c r="A38" s="5" t="s">
        <v>202</v>
      </c>
      <c r="B38" s="11">
        <f t="shared" ref="B38:R38" si="14">B34+B35+B36+B37</f>
        <v>47.5223529411765</v>
      </c>
      <c r="C38" s="11">
        <f t="shared" si="14"/>
        <v>56.88749411764708</v>
      </c>
      <c r="D38" s="11">
        <f t="shared" si="14"/>
        <v>52.379581811333516</v>
      </c>
      <c r="E38" s="11">
        <f t="shared" si="14"/>
        <v>43.047580883099059</v>
      </c>
      <c r="F38" s="11">
        <f t="shared" si="14"/>
        <v>31.376787114701887</v>
      </c>
      <c r="G38" s="11">
        <f t="shared" si="14"/>
        <v>35.681477681551485</v>
      </c>
      <c r="H38" s="11">
        <f t="shared" si="14"/>
        <v>40.381466403591347</v>
      </c>
      <c r="I38" s="11">
        <f t="shared" si="14"/>
        <v>46.016507463809788</v>
      </c>
      <c r="J38" s="11">
        <f t="shared" si="14"/>
        <v>52.072837818126359</v>
      </c>
      <c r="K38" s="11">
        <f t="shared" si="14"/>
        <v>58.058767343326402</v>
      </c>
      <c r="L38" s="11">
        <f t="shared" si="14"/>
        <v>64.493591225346407</v>
      </c>
      <c r="M38" s="11">
        <f t="shared" si="14"/>
        <v>70.850274326801994</v>
      </c>
      <c r="N38" s="11">
        <f t="shared" si="14"/>
        <v>77.685158002094653</v>
      </c>
      <c r="O38" s="11">
        <f t="shared" si="14"/>
        <v>84.433315535484084</v>
      </c>
      <c r="P38" s="11">
        <f t="shared" si="14"/>
        <v>91.690771051141212</v>
      </c>
      <c r="Q38" s="11">
        <f t="shared" si="14"/>
        <v>98.851975446538134</v>
      </c>
      <c r="R38" s="11">
        <f t="shared" si="14"/>
        <v>106.55545903414802</v>
      </c>
    </row>
    <row r="40" spans="1:18" ht="15" customHeight="1" x14ac:dyDescent="0.3">
      <c r="A40" s="5" t="s">
        <v>203</v>
      </c>
      <c r="B40" s="11">
        <f>SUM(B25:B25)</f>
        <v>17.882352941176482</v>
      </c>
      <c r="C40" s="11">
        <f>SUM(B25:C25)</f>
        <v>20.235294117647069</v>
      </c>
      <c r="D40" s="11">
        <f>SUM(B25:D25)</f>
        <v>20.235294117647069</v>
      </c>
      <c r="E40" s="11">
        <f>SUM(B25:E25)</f>
        <v>20.235294117647069</v>
      </c>
      <c r="F40" s="11">
        <f>SUM(B25:F25)</f>
        <v>20.235294117647069</v>
      </c>
      <c r="G40" s="11">
        <f>SUM(B25:G25)</f>
        <v>20.235294117647069</v>
      </c>
      <c r="H40" s="11">
        <f>SUM(B25:H25)</f>
        <v>20.235294117647069</v>
      </c>
      <c r="I40" s="11">
        <f>SUM(B25:I25)</f>
        <v>20.235294117647069</v>
      </c>
      <c r="J40" s="11">
        <f>SUM(B25:J25)</f>
        <v>20.235294117647069</v>
      </c>
      <c r="K40" s="11">
        <f>SUM(B25:K25)</f>
        <v>20.235294117647069</v>
      </c>
      <c r="L40" s="11">
        <f>SUM(B25:L25)</f>
        <v>20.235294117647069</v>
      </c>
      <c r="M40" s="11">
        <f>SUM(B25:M25)</f>
        <v>20.235294117647069</v>
      </c>
      <c r="N40" s="11">
        <f>SUM(B25:N25)</f>
        <v>20.235294117647069</v>
      </c>
      <c r="O40" s="11">
        <f>SUM(B25:O25)</f>
        <v>20.235294117647069</v>
      </c>
      <c r="P40" s="11">
        <f>SUM(B25:P25)</f>
        <v>20.235294117647069</v>
      </c>
      <c r="Q40" s="11">
        <f>SUM(B25:Q25)</f>
        <v>20.235294117647069</v>
      </c>
      <c r="R40" s="11">
        <f>SUM(B25:R25)</f>
        <v>20.235294117647069</v>
      </c>
    </row>
    <row r="41" spans="1:18" ht="15" customHeight="1" x14ac:dyDescent="0.3">
      <c r="A41" s="5" t="s">
        <v>204</v>
      </c>
      <c r="B41" s="11">
        <f>SUM(B14:B14)</f>
        <v>0</v>
      </c>
      <c r="C41" s="11">
        <f>SUM(B14:C14)</f>
        <v>0</v>
      </c>
      <c r="D41" s="11">
        <f>SUM(B14:D14)</f>
        <v>1.0618873342988149</v>
      </c>
      <c r="E41" s="11">
        <f>SUM(B14:E14)</f>
        <v>2.2910111575174152</v>
      </c>
      <c r="F41" s="11">
        <f>SUM(B14:F14)</f>
        <v>6.1081058646658484</v>
      </c>
      <c r="G41" s="11">
        <f>SUM(B14:G14)</f>
        <v>10.269013342147279</v>
      </c>
      <c r="H41" s="11">
        <f>SUM(B14:H14)</f>
        <v>14.726591934191958</v>
      </c>
      <c r="I41" s="11">
        <f>SUM(B14:I14)</f>
        <v>20.206309928086345</v>
      </c>
      <c r="J41" s="11">
        <f>SUM(B14:J14)</f>
        <v>26.001562823170293</v>
      </c>
      <c r="K41" s="11">
        <f>SUM(B14:K14)</f>
        <v>31.819670380861197</v>
      </c>
      <c r="L41" s="11">
        <f>SUM(B14:L14)</f>
        <v>37.973272780050891</v>
      </c>
      <c r="M41" s="11">
        <f>SUM(B14:M14)</f>
        <v>44.148592252971852</v>
      </c>
      <c r="N41" s="11">
        <f>SUM(B14:N14)</f>
        <v>50.680511921318967</v>
      </c>
      <c r="O41" s="11">
        <f>SUM(B14:O14)</f>
        <v>57.232629727519068</v>
      </c>
      <c r="P41" s="11">
        <f>SUM(B14:P14)</f>
        <v>64.163647731577839</v>
      </c>
      <c r="Q41" s="11">
        <f>SUM(B14:Q14)</f>
        <v>71.112901549805628</v>
      </c>
      <c r="R41" s="11">
        <f>SUM(B14:R14)</f>
        <v>78.464598975666092</v>
      </c>
    </row>
    <row r="42" spans="1:18" ht="15" customHeight="1" x14ac:dyDescent="0.3">
      <c r="A42" s="5" t="s">
        <v>205</v>
      </c>
      <c r="B42" s="11">
        <f t="shared" ref="B42:R42" si="15">B40+B41</f>
        <v>17.882352941176482</v>
      </c>
      <c r="C42" s="11">
        <f t="shared" si="15"/>
        <v>20.235294117647069</v>
      </c>
      <c r="D42" s="11">
        <f t="shared" si="15"/>
        <v>21.297181451945882</v>
      </c>
      <c r="E42" s="11">
        <f t="shared" si="15"/>
        <v>22.526305275164482</v>
      </c>
      <c r="F42" s="11">
        <f t="shared" si="15"/>
        <v>26.343399982312917</v>
      </c>
      <c r="G42" s="11">
        <f t="shared" si="15"/>
        <v>30.504307459794347</v>
      </c>
      <c r="H42" s="11">
        <f t="shared" si="15"/>
        <v>34.961886051839031</v>
      </c>
      <c r="I42" s="11">
        <f t="shared" si="15"/>
        <v>40.441604045733413</v>
      </c>
      <c r="J42" s="11">
        <f t="shared" si="15"/>
        <v>46.236856940817361</v>
      </c>
      <c r="K42" s="11">
        <f t="shared" si="15"/>
        <v>52.054964498508269</v>
      </c>
      <c r="L42" s="11">
        <f t="shared" si="15"/>
        <v>58.208566897697963</v>
      </c>
      <c r="M42" s="11">
        <f t="shared" si="15"/>
        <v>64.383886370618924</v>
      </c>
      <c r="N42" s="11">
        <f t="shared" si="15"/>
        <v>70.915806038966039</v>
      </c>
      <c r="O42" s="11">
        <f t="shared" si="15"/>
        <v>77.46792384516614</v>
      </c>
      <c r="P42" s="11">
        <f t="shared" si="15"/>
        <v>84.398941849224911</v>
      </c>
      <c r="Q42" s="11">
        <f t="shared" si="15"/>
        <v>91.3481956674527</v>
      </c>
      <c r="R42" s="11">
        <f t="shared" si="15"/>
        <v>98.699893093313165</v>
      </c>
    </row>
    <row r="43" spans="1:18" ht="15" customHeight="1" x14ac:dyDescent="0.3">
      <c r="A43" s="5" t="s">
        <v>206</v>
      </c>
      <c r="B43" s="13">
        <f>Financing!B13</f>
        <v>29.640000000000015</v>
      </c>
      <c r="C43" s="13">
        <f>Financing!C13</f>
        <v>36.652200000000015</v>
      </c>
      <c r="D43" s="13">
        <f>Financing!D13</f>
        <v>27.108991882352999</v>
      </c>
      <c r="E43" s="13">
        <f>Financing!E13</f>
        <v>16.427811925098155</v>
      </c>
      <c r="F43" s="13">
        <f>Financing!F13</f>
        <v>0</v>
      </c>
      <c r="G43" s="13">
        <f>Financing!G13</f>
        <v>0</v>
      </c>
      <c r="H43" s="13">
        <f>Financing!H13</f>
        <v>0</v>
      </c>
      <c r="I43" s="13">
        <f>Financing!I13</f>
        <v>0</v>
      </c>
      <c r="J43" s="13">
        <f>Financing!J13</f>
        <v>0</v>
      </c>
      <c r="K43" s="13">
        <f>Financing!K13</f>
        <v>0</v>
      </c>
      <c r="L43" s="13">
        <f>Financing!L13</f>
        <v>0</v>
      </c>
      <c r="M43" s="13">
        <f>Financing!M13</f>
        <v>0</v>
      </c>
      <c r="N43" s="13">
        <f>Financing!N13</f>
        <v>0</v>
      </c>
      <c r="O43" s="13">
        <f>Financing!O13</f>
        <v>0</v>
      </c>
      <c r="P43" s="13">
        <f>Financing!P13</f>
        <v>0</v>
      </c>
      <c r="Q43" s="13">
        <f>Financing!Q13</f>
        <v>0</v>
      </c>
      <c r="R43" s="13">
        <f>Financing!R13</f>
        <v>0</v>
      </c>
    </row>
    <row r="44" spans="1:18" ht="15" customHeight="1" x14ac:dyDescent="0.3">
      <c r="A44" s="5" t="s">
        <v>207</v>
      </c>
      <c r="B44" s="13">
        <f>Working_Capital!B9</f>
        <v>0</v>
      </c>
      <c r="C44" s="13">
        <f>Working_Capital!C9</f>
        <v>0</v>
      </c>
      <c r="D44" s="13">
        <f>Working_Capital!D9</f>
        <v>3.9734084770346421</v>
      </c>
      <c r="E44" s="13">
        <f>Working_Capital!E9</f>
        <v>4.0934636828364157</v>
      </c>
      <c r="F44" s="13">
        <f>Working_Capital!F9</f>
        <v>5.0333871323889676</v>
      </c>
      <c r="G44" s="13">
        <f>Working_Capital!G9</f>
        <v>5.1771702217571338</v>
      </c>
      <c r="H44" s="13">
        <f>Working_Capital!H9</f>
        <v>5.4195803517523098</v>
      </c>
      <c r="I44" s="13">
        <f>Working_Capital!I9</f>
        <v>5.5749034180763681</v>
      </c>
      <c r="J44" s="13">
        <f>Working_Capital!J9</f>
        <v>5.8359808773089892</v>
      </c>
      <c r="K44" s="13">
        <f>Working_Capital!K9</f>
        <v>6.0038028448181278</v>
      </c>
      <c r="L44" s="13">
        <f>Working_Capital!L9</f>
        <v>6.2850243276484488</v>
      </c>
      <c r="M44" s="13">
        <f>Working_Capital!M9</f>
        <v>6.4663879561830742</v>
      </c>
      <c r="N44" s="13">
        <f>Working_Capital!N9</f>
        <v>6.7693519631286074</v>
      </c>
      <c r="O44" s="13">
        <f>Working_Capital!O9</f>
        <v>6.9653916903179418</v>
      </c>
      <c r="P44" s="13">
        <f>Working_Capital!P9</f>
        <v>7.2918292019162898</v>
      </c>
      <c r="Q44" s="13">
        <f>Working_Capital!Q9</f>
        <v>7.503779779085435</v>
      </c>
      <c r="R44" s="13">
        <f>Working_Capital!R9</f>
        <v>7.8555659408348477</v>
      </c>
    </row>
    <row r="45" spans="1:18" ht="15" customHeight="1" x14ac:dyDescent="0.3">
      <c r="A45" s="5" t="s">
        <v>208</v>
      </c>
      <c r="B45" s="11">
        <f t="shared" ref="B45:R45" si="16">B43+B44</f>
        <v>29.640000000000015</v>
      </c>
      <c r="C45" s="11">
        <f t="shared" si="16"/>
        <v>36.652200000000015</v>
      </c>
      <c r="D45" s="11">
        <f t="shared" si="16"/>
        <v>31.082400359387641</v>
      </c>
      <c r="E45" s="11">
        <f t="shared" si="16"/>
        <v>20.52127560793457</v>
      </c>
      <c r="F45" s="11">
        <f t="shared" si="16"/>
        <v>5.0333871323889676</v>
      </c>
      <c r="G45" s="11">
        <f t="shared" si="16"/>
        <v>5.1771702217571338</v>
      </c>
      <c r="H45" s="11">
        <f t="shared" si="16"/>
        <v>5.4195803517523098</v>
      </c>
      <c r="I45" s="11">
        <f t="shared" si="16"/>
        <v>5.5749034180763681</v>
      </c>
      <c r="J45" s="11">
        <f t="shared" si="16"/>
        <v>5.8359808773089892</v>
      </c>
      <c r="K45" s="11">
        <f t="shared" si="16"/>
        <v>6.0038028448181278</v>
      </c>
      <c r="L45" s="11">
        <f t="shared" si="16"/>
        <v>6.2850243276484488</v>
      </c>
      <c r="M45" s="11">
        <f t="shared" si="16"/>
        <v>6.4663879561830742</v>
      </c>
      <c r="N45" s="11">
        <f t="shared" si="16"/>
        <v>6.7693519631286074</v>
      </c>
      <c r="O45" s="11">
        <f t="shared" si="16"/>
        <v>6.9653916903179418</v>
      </c>
      <c r="P45" s="11">
        <f t="shared" si="16"/>
        <v>7.2918292019162898</v>
      </c>
      <c r="Q45" s="11">
        <f t="shared" si="16"/>
        <v>7.503779779085435</v>
      </c>
      <c r="R45" s="11">
        <f t="shared" si="16"/>
        <v>7.8555659408348477</v>
      </c>
    </row>
    <row r="46" spans="1:18" ht="15" customHeight="1" x14ac:dyDescent="0.3">
      <c r="A46" s="5" t="s">
        <v>209</v>
      </c>
      <c r="B46" s="11">
        <f t="shared" ref="B46:R46" si="17">B42+B45</f>
        <v>47.522352941176493</v>
      </c>
      <c r="C46" s="11">
        <f t="shared" si="17"/>
        <v>56.88749411764708</v>
      </c>
      <c r="D46" s="11">
        <f t="shared" si="17"/>
        <v>52.379581811333523</v>
      </c>
      <c r="E46" s="11">
        <f t="shared" si="17"/>
        <v>43.047580883099052</v>
      </c>
      <c r="F46" s="11">
        <f t="shared" si="17"/>
        <v>31.376787114701884</v>
      </c>
      <c r="G46" s="11">
        <f t="shared" si="17"/>
        <v>35.681477681551485</v>
      </c>
      <c r="H46" s="11">
        <f t="shared" si="17"/>
        <v>40.38146640359134</v>
      </c>
      <c r="I46" s="11">
        <f t="shared" si="17"/>
        <v>46.016507463809781</v>
      </c>
      <c r="J46" s="11">
        <f t="shared" si="17"/>
        <v>52.072837818126352</v>
      </c>
      <c r="K46" s="11">
        <f t="shared" si="17"/>
        <v>58.058767343326394</v>
      </c>
      <c r="L46" s="11">
        <f t="shared" si="17"/>
        <v>64.493591225346407</v>
      </c>
      <c r="M46" s="11">
        <f t="shared" si="17"/>
        <v>70.850274326801994</v>
      </c>
      <c r="N46" s="11">
        <f t="shared" si="17"/>
        <v>77.685158002094653</v>
      </c>
      <c r="O46" s="11">
        <f t="shared" si="17"/>
        <v>84.433315535484084</v>
      </c>
      <c r="P46" s="11">
        <f t="shared" si="17"/>
        <v>91.690771051141198</v>
      </c>
      <c r="Q46" s="11">
        <f t="shared" si="17"/>
        <v>98.851975446538134</v>
      </c>
      <c r="R46" s="11">
        <f t="shared" si="17"/>
        <v>106.55545903414802</v>
      </c>
    </row>
    <row r="47" spans="1:18" ht="15" customHeight="1" x14ac:dyDescent="0.3">
      <c r="A47" s="5" t="s">
        <v>210</v>
      </c>
      <c r="B47" s="18">
        <f t="shared" ref="B47:R47" si="18">B38-B46</f>
        <v>0</v>
      </c>
      <c r="C47" s="18">
        <f t="shared" si="18"/>
        <v>0</v>
      </c>
      <c r="D47" s="18">
        <f t="shared" si="18"/>
        <v>0</v>
      </c>
      <c r="E47" s="18">
        <f t="shared" si="18"/>
        <v>0</v>
      </c>
      <c r="F47" s="18">
        <f t="shared" si="18"/>
        <v>0</v>
      </c>
      <c r="G47" s="18">
        <f t="shared" si="18"/>
        <v>0</v>
      </c>
      <c r="H47" s="18">
        <f t="shared" si="18"/>
        <v>0</v>
      </c>
      <c r="I47" s="18">
        <f t="shared" si="18"/>
        <v>0</v>
      </c>
      <c r="J47" s="18">
        <f t="shared" si="18"/>
        <v>0</v>
      </c>
      <c r="K47" s="18">
        <f t="shared" si="18"/>
        <v>0</v>
      </c>
      <c r="L47" s="18">
        <f t="shared" si="18"/>
        <v>0</v>
      </c>
      <c r="M47" s="18">
        <f t="shared" si="18"/>
        <v>0</v>
      </c>
      <c r="N47" s="18">
        <f t="shared" si="18"/>
        <v>0</v>
      </c>
      <c r="O47" s="18">
        <f t="shared" si="18"/>
        <v>0</v>
      </c>
      <c r="P47" s="18">
        <f t="shared" si="18"/>
        <v>0</v>
      </c>
      <c r="Q47" s="18">
        <f t="shared" si="18"/>
        <v>0</v>
      </c>
      <c r="R47" s="18">
        <f t="shared" si="18"/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1F4E79"/>
  </sheetPr>
  <dimension ref="A1:R21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7" sqref="C17"/>
    </sheetView>
  </sheetViews>
  <sheetFormatPr defaultColWidth="8.6640625" defaultRowHeight="14.4" x14ac:dyDescent="0.3"/>
  <cols>
    <col min="1" max="1" width="35" customWidth="1"/>
    <col min="2" max="18" width="16" customWidth="1"/>
  </cols>
  <sheetData>
    <row r="1" spans="1:18" ht="17.25" customHeight="1" x14ac:dyDescent="0.3">
      <c r="A1" s="3" t="s">
        <v>211</v>
      </c>
    </row>
    <row r="2" spans="1:18" ht="15" customHeight="1" x14ac:dyDescent="0.3">
      <c r="A2" s="4"/>
      <c r="B2" s="4" t="s">
        <v>74</v>
      </c>
      <c r="C2" s="4" t="s">
        <v>75</v>
      </c>
      <c r="D2" s="4" t="s">
        <v>76</v>
      </c>
      <c r="E2" s="4" t="s">
        <v>77</v>
      </c>
      <c r="F2" s="4" t="s">
        <v>78</v>
      </c>
      <c r="G2" s="4" t="s">
        <v>79</v>
      </c>
      <c r="H2" s="4" t="s">
        <v>80</v>
      </c>
      <c r="I2" s="4" t="s">
        <v>81</v>
      </c>
      <c r="J2" s="4" t="s">
        <v>82</v>
      </c>
      <c r="K2" s="4" t="s">
        <v>83</v>
      </c>
      <c r="L2" s="4" t="s">
        <v>84</v>
      </c>
      <c r="M2" s="4" t="s">
        <v>85</v>
      </c>
      <c r="N2" s="4" t="s">
        <v>86</v>
      </c>
      <c r="O2" s="4" t="s">
        <v>87</v>
      </c>
      <c r="P2" s="4" t="s">
        <v>88</v>
      </c>
      <c r="Q2" s="4" t="s">
        <v>89</v>
      </c>
      <c r="R2" s="4" t="s">
        <v>90</v>
      </c>
    </row>
    <row r="3" spans="1:18" ht="15" customHeight="1" x14ac:dyDescent="0.3">
      <c r="A3" s="7" t="s">
        <v>212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" customHeight="1" x14ac:dyDescent="0.3">
      <c r="A4" s="5" t="s">
        <v>213</v>
      </c>
      <c r="B4" s="14">
        <f>IF(Financials!B4&lt;&gt;0,Financials!B6/Financials!B4,0)</f>
        <v>0</v>
      </c>
      <c r="C4" s="14">
        <f>IF(Financials!C4&lt;&gt;0,Financials!C6/Financials!C4,0)</f>
        <v>0</v>
      </c>
      <c r="D4" s="14">
        <f>IF(Financials!D4&lt;&gt;0,Financials!D6/Financials!D4,0)</f>
        <v>0.27711057912547449</v>
      </c>
      <c r="E4" s="14">
        <f>IF(Financials!E4&lt;&gt;0,Financials!E6/Financials!E4,0)</f>
        <v>0.26987129165232182</v>
      </c>
      <c r="F4" s="14">
        <f>IF(Financials!F4&lt;&gt;0,Financials!F6/Financials!F4,0)</f>
        <v>0.35909643871950209</v>
      </c>
      <c r="G4" s="14">
        <f>IF(Financials!G4&lt;&gt;0,Financials!G6/Financials!G4,0)</f>
        <v>0.35371418630274315</v>
      </c>
      <c r="H4" s="14">
        <f>IF(Financials!H4&lt;&gt;0,Financials!H6/Financials!H4,0)</f>
        <v>0.35603770176593036</v>
      </c>
      <c r="I4" s="14">
        <f>IF(Financials!I4&lt;&gt;0,Financials!I6/Financials!I4,0)</f>
        <v>0.35057058098302024</v>
      </c>
      <c r="J4" s="14">
        <f>IF(Financials!J4&lt;&gt;0,Financials!J6/Financials!J4,0)</f>
        <v>0.35290048546838709</v>
      </c>
      <c r="K4" s="14">
        <f>IF(Financials!K4&lt;&gt;0,Financials!K6/Financials!K4,0)</f>
        <v>0.34734530830450377</v>
      </c>
      <c r="L4" s="14">
        <f>IF(Financials!L4&lt;&gt;0,Financials!L6/Financials!L4,0)</f>
        <v>0.34968075152630446</v>
      </c>
      <c r="M4" s="14">
        <f>IF(Financials!M4&lt;&gt;0,Financials!M6/Financials!M4,0)</f>
        <v>0.34403414935411242</v>
      </c>
      <c r="N4" s="14">
        <f>IF(Financials!N4&lt;&gt;0,Financials!N6/Financials!N4,0)</f>
        <v>0.34637422075553997</v>
      </c>
      <c r="O4" s="14">
        <f>IF(Financials!O4&lt;&gt;0,Financials!O6/Financials!O4,0)</f>
        <v>0.34063263365200525</v>
      </c>
      <c r="P4" s="14">
        <f>IF(Financials!P4&lt;&gt;0,Financials!P6/Financials!P4,0)</f>
        <v>0.3429763589058063</v>
      </c>
      <c r="Q4" s="14">
        <f>IF(Financials!Q4&lt;&gt;0,Financials!Q6/Financials!Q4,0)</f>
        <v>0.33713602435136614</v>
      </c>
      <c r="R4" s="14">
        <f>IF(Financials!R4&lt;&gt;0,Financials!R6/Financials!R4,0)</f>
        <v>0.33948236166601281</v>
      </c>
    </row>
    <row r="5" spans="1:18" ht="15" customHeight="1" x14ac:dyDescent="0.3">
      <c r="A5" s="5" t="s">
        <v>214</v>
      </c>
      <c r="B5" s="14">
        <f>IF(Financials!B4&lt;&gt;0,Financials!B12/Financials!B4,0)</f>
        <v>0</v>
      </c>
      <c r="C5" s="14">
        <f>IF(Financials!C4&lt;&gt;0,Financials!C12/Financials!C4,0)</f>
        <v>0</v>
      </c>
      <c r="D5" s="14">
        <f>IF(Financials!D4&lt;&gt;0,Financials!D12/Financials!D4,0)</f>
        <v>7.9393599191923209E-2</v>
      </c>
      <c r="E5" s="14">
        <f>IF(Financials!E4&lt;&gt;0,Financials!E12/Financials!E4,0)</f>
        <v>9.0095378540340623E-2</v>
      </c>
      <c r="F5" s="14">
        <f>IF(Financials!F4&lt;&gt;0,Financials!F12/Financials!F4,0)</f>
        <v>0.19973937214202322</v>
      </c>
      <c r="G5" s="14">
        <f>IF(Financials!G4&lt;&gt;0,Financials!G12/Financials!G4,0)</f>
        <v>0.21346104539560931</v>
      </c>
      <c r="H5" s="14">
        <f>IF(Financials!H4&lt;&gt;0,Financials!H12/Financials!H4,0)</f>
        <v>0.2176667965311474</v>
      </c>
      <c r="I5" s="14">
        <f>IF(Financials!I4&lt;&gt;0,Financials!I12/Financials!I4,0)</f>
        <v>0.26233196574959405</v>
      </c>
      <c r="J5" s="14">
        <f>IF(Financials!J4&lt;&gt;0,Financials!J12/Financials!J4,0)</f>
        <v>0.26407543327599409</v>
      </c>
      <c r="K5" s="14">
        <f>IF(Financials!K4&lt;&gt;0,Financials!K12/Financials!K4,0)</f>
        <v>0.25991849420426016</v>
      </c>
      <c r="L5" s="14">
        <f>IF(Financials!L4&lt;&gt;0,Financials!L12/Financials!L4,0)</f>
        <v>0.26166610636713367</v>
      </c>
      <c r="M5" s="14">
        <f>IF(Financials!M4&lt;&gt;0,Financials!M12/Financials!M4,0)</f>
        <v>0.25744075396168231</v>
      </c>
      <c r="N5" s="14">
        <f>IF(Financials!N4&lt;&gt;0,Financials!N12/Financials!N4,0)</f>
        <v>0.25919182939137059</v>
      </c>
      <c r="O5" s="14">
        <f>IF(Financials!O4&lt;&gt;0,Financials!O12/Financials!O4,0)</f>
        <v>0.25489539976179554</v>
      </c>
      <c r="P5" s="14">
        <f>IF(Financials!P4&lt;&gt;0,Financials!P12/Financials!P4,0)</f>
        <v>0.25664920936921487</v>
      </c>
      <c r="Q5" s="14">
        <f>IF(Financials!Q4&lt;&gt;0,Financials!Q12/Financials!Q4,0)</f>
        <v>0.25227888702212725</v>
      </c>
      <c r="R5" s="14">
        <f>IF(Financials!R4&lt;&gt;0,Financials!R12/Financials!R4,0)</f>
        <v>0.25403465123467744</v>
      </c>
    </row>
    <row r="6" spans="1:18" ht="15" customHeight="1" x14ac:dyDescent="0.3">
      <c r="A6" s="5" t="s">
        <v>215</v>
      </c>
      <c r="B6" s="14">
        <f>IF(Financials!B42&lt;&gt;0,Financials!B12/Financials!B42,0)</f>
        <v>0</v>
      </c>
      <c r="C6" s="14">
        <f>IF(Financials!C42&lt;&gt;0,Financials!C12/Financials!C42,0)</f>
        <v>0</v>
      </c>
      <c r="D6" s="14">
        <f>IF(Financials!D42&lt;&gt;0,Financials!D12/Financials!D42,0)</f>
        <v>0.24930231652831988</v>
      </c>
      <c r="E6" s="14">
        <f>IF(Financials!E42&lt;&gt;0,Financials!E12/Financials!E42,0)</f>
        <v>0.27281966754080272</v>
      </c>
      <c r="F6" s="14">
        <f>IF(Financials!F42&lt;&gt;0,Financials!F12/Financials!F42,0)</f>
        <v>0.72448786218013783</v>
      </c>
      <c r="G6" s="14">
        <f>IF(Financials!G42&lt;&gt;0,Financials!G12/Financials!G42,0)</f>
        <v>0.68201965951294596</v>
      </c>
      <c r="H6" s="14">
        <f>IF(Financials!H42&lt;&gt;0,Financials!H12/Financials!H42,0)</f>
        <v>0.63749115042525106</v>
      </c>
      <c r="I6" s="14">
        <f>IF(Financials!I42&lt;&gt;0,Financials!I12/Financials!I42,0)</f>
        <v>0.67748524362407136</v>
      </c>
      <c r="J6" s="14">
        <f>IF(Financials!J42&lt;&gt;0,Financials!J12/Financials!J42,0)</f>
        <v>0.62669191620245801</v>
      </c>
      <c r="K6" s="14">
        <f>IF(Financials!K42&lt;&gt;0,Financials!K12/Financials!K42,0)</f>
        <v>0.55884271689952203</v>
      </c>
      <c r="L6" s="14">
        <f>IF(Financials!L42&lt;&gt;0,Financials!L12/Financials!L42,0)</f>
        <v>0.52858219392385164</v>
      </c>
      <c r="M6" s="14">
        <f>IF(Financials!M42&lt;&gt;0,Financials!M12/Financials!M42,0)</f>
        <v>0.47957026369714634</v>
      </c>
      <c r="N6" s="14">
        <f>IF(Financials!N42&lt;&gt;0,Financials!N12/Financials!N42,0)</f>
        <v>0.46054046574313973</v>
      </c>
      <c r="O6" s="14">
        <f>IF(Financials!O42&lt;&gt;0,Financials!O12/Financials!O42,0)</f>
        <v>0.4228923069692504</v>
      </c>
      <c r="P6" s="14">
        <f>IF(Financials!P42&lt;&gt;0,Financials!P12/Financials!P42,0)</f>
        <v>0.41061047995369099</v>
      </c>
      <c r="Q6" s="14">
        <f>IF(Financials!Q42&lt;&gt;0,Financials!Q12/Financials!Q42,0)</f>
        <v>0.38037170671252818</v>
      </c>
      <c r="R6" s="14">
        <f>IF(Financials!R42&lt;&gt;0,Financials!R12/Financials!R42,0)</f>
        <v>0.3724268180771993</v>
      </c>
    </row>
    <row r="7" spans="1:18" ht="15" customHeight="1" x14ac:dyDescent="0.3">
      <c r="A7" s="5" t="s">
        <v>216</v>
      </c>
      <c r="B7" s="14">
        <f>IF((Financials!B42+Financials!B43)&lt;&gt;0,Financials!B8/(Financials!B42+Financials!B43),0)</f>
        <v>0</v>
      </c>
      <c r="C7" s="14">
        <f>IF((Financials!C42+Financials!C43)&lt;&gt;0,Financials!C8/(Financials!C42+Financials!C43),0)</f>
        <v>0</v>
      </c>
      <c r="D7" s="14">
        <f>IF((Financials!D42+Financials!D43)&lt;&gt;0,Financials!D8/(Financials!D42+Financials!D43),0)</f>
        <v>0.2450125021275977</v>
      </c>
      <c r="E7" s="14">
        <f>IF((Financials!E42+Financials!E43)&lt;&gt;0,Financials!E8/(Financials!E42+Financials!E43),0)</f>
        <v>0.30130174245499514</v>
      </c>
      <c r="F7" s="14">
        <f>IF((Financials!F42+Financials!F43)&lt;&gt;0,Financials!F8/(Financials!F42+Financials!F43),0)</f>
        <v>1.0492466879105933</v>
      </c>
      <c r="G7" s="14">
        <f>IF((Financials!G42+Financials!G43)&lt;&gt;0,Financials!G8/(Financials!G42+Financials!G43),0)</f>
        <v>0.91142544368962441</v>
      </c>
      <c r="H7" s="14">
        <f>IF((Financials!H42+Financials!H43)&lt;&gt;0,Financials!H8/(Financials!H42+Financials!H43),0)</f>
        <v>0.8519192174599105</v>
      </c>
      <c r="I7" s="14">
        <f>IF((Financials!I42+Financials!I43)&lt;&gt;0,Financials!I8/(Financials!I42+Financials!I43),0)</f>
        <v>0.90536582069233107</v>
      </c>
      <c r="J7" s="14">
        <f>IF((Financials!J42+Financials!J43)&lt;&gt;0,Financials!J8/(Financials!J42+Financials!J43),0)</f>
        <v>0.83748752666371518</v>
      </c>
      <c r="K7" s="14">
        <f>IF((Financials!K42+Financials!K43)&lt;&gt;0,Financials!K8/(Financials!K42+Financials!K43),0)</f>
        <v>0.74681640638717361</v>
      </c>
      <c r="L7" s="14">
        <f>IF((Financials!L42+Financials!L43)&lt;&gt;0,Financials!L8/(Financials!L42+Financials!L43),0)</f>
        <v>0.70637738062789202</v>
      </c>
      <c r="M7" s="14">
        <f>IF((Financials!M42+Financials!M43)&lt;&gt;0,Financials!M8/(Financials!M42+Financials!M43),0)</f>
        <v>0.64087967886829655</v>
      </c>
      <c r="N7" s="14">
        <f>IF((Financials!N42+Financials!N43)&lt;&gt;0,Financials!N8/(Financials!N42+Financials!N43),0)</f>
        <v>0.61544897199403936</v>
      </c>
      <c r="O7" s="14">
        <f>IF((Financials!O42+Financials!O43)&lt;&gt;0,Financials!O8/(Financials!O42+Financials!O43),0)</f>
        <v>0.56513738737037333</v>
      </c>
      <c r="P7" s="14">
        <f>IF((Financials!P42+Financials!P43)&lt;&gt;0,Financials!P8/(Financials!P42+Financials!P43),0)</f>
        <v>0.54872441527955496</v>
      </c>
      <c r="Q7" s="14">
        <f>IF((Financials!Q42+Financials!Q43)&lt;&gt;0,Financials!Q8/(Financials!Q42+Financials!Q43),0)</f>
        <v>0.50831445504814665</v>
      </c>
      <c r="R7" s="14">
        <f>IF((Financials!R42+Financials!R43)&lt;&gt;0,Financials!R8/(Financials!R42+Financials!R43),0)</f>
        <v>0.49769720443298043</v>
      </c>
    </row>
    <row r="8" spans="1:18" ht="15" customHeight="1" x14ac:dyDescent="0.3">
      <c r="A8" s="5" t="s">
        <v>217</v>
      </c>
      <c r="B8" s="2">
        <f>IF(Financials!B9&lt;&gt;0,Financials!B6/Financials!B9,0)</f>
        <v>0</v>
      </c>
      <c r="C8" s="2">
        <f>IF(Financials!C9&lt;&gt;0,Financials!C6/Financials!C9,0)</f>
        <v>0</v>
      </c>
      <c r="D8" s="2">
        <f>IF(Financials!D9&lt;&gt;0,Financials!D6/Financials!D9,0)</f>
        <v>3.8893108982537723</v>
      </c>
      <c r="E8" s="2">
        <f>IF(Financials!E9&lt;&gt;0,Financials!E6/Financials!E9,0)</f>
        <v>5.2235179832900309</v>
      </c>
      <c r="F8" s="2">
        <f>IF(Financials!F9&lt;&gt;0,Financials!F6/Financials!F9,0)</f>
        <v>16.066722142996362</v>
      </c>
      <c r="G8" s="2">
        <f>IF(Financials!G9&lt;&gt;0,Financials!G6/Financials!G9,0)</f>
        <v>0</v>
      </c>
      <c r="H8" s="2">
        <f>IF(Financials!H9&lt;&gt;0,Financials!H6/Financials!H9,0)</f>
        <v>0</v>
      </c>
      <c r="I8" s="2">
        <f>IF(Financials!I9&lt;&gt;0,Financials!I6/Financials!I9,0)</f>
        <v>0</v>
      </c>
      <c r="J8" s="2">
        <f>IF(Financials!J9&lt;&gt;0,Financials!J6/Financials!J9,0)</f>
        <v>0</v>
      </c>
      <c r="K8" s="2">
        <f>IF(Financials!K9&lt;&gt;0,Financials!K6/Financials!K9,0)</f>
        <v>0</v>
      </c>
      <c r="L8" s="2">
        <f>IF(Financials!L9&lt;&gt;0,Financials!L6/Financials!L9,0)</f>
        <v>0</v>
      </c>
      <c r="M8" s="2">
        <f>IF(Financials!M9&lt;&gt;0,Financials!M6/Financials!M9,0)</f>
        <v>0</v>
      </c>
      <c r="N8" s="2">
        <f>IF(Financials!N9&lt;&gt;0,Financials!N6/Financials!N9,0)</f>
        <v>0</v>
      </c>
      <c r="O8" s="2">
        <f>IF(Financials!O9&lt;&gt;0,Financials!O6/Financials!O9,0)</f>
        <v>0</v>
      </c>
      <c r="P8" s="2">
        <f>IF(Financials!P9&lt;&gt;0,Financials!P6/Financials!P9,0)</f>
        <v>0</v>
      </c>
      <c r="Q8" s="2">
        <f>IF(Financials!Q9&lt;&gt;0,Financials!Q6/Financials!Q9,0)</f>
        <v>0</v>
      </c>
      <c r="R8" s="2">
        <f>IF(Financials!R9&lt;&gt;0,Financials!R6/Financials!R9,0)</f>
        <v>0</v>
      </c>
    </row>
    <row r="9" spans="1:18" ht="15" customHeight="1" x14ac:dyDescent="0.3">
      <c r="A9" s="5" t="s">
        <v>158</v>
      </c>
      <c r="B9" s="2">
        <f>Financing!B17</f>
        <v>0</v>
      </c>
      <c r="C9" s="2">
        <f>Financing!C17</f>
        <v>0</v>
      </c>
      <c r="D9" s="2">
        <f>Financing!D17</f>
        <v>1.2</v>
      </c>
      <c r="E9" s="2">
        <f>Financing!E17</f>
        <v>1.2</v>
      </c>
      <c r="F9" s="2">
        <f>Financing!F17</f>
        <v>1.7750062868291965</v>
      </c>
      <c r="G9" s="2">
        <f>Financing!G17</f>
        <v>0</v>
      </c>
      <c r="H9" s="2">
        <f>Financing!H17</f>
        <v>0</v>
      </c>
      <c r="I9" s="2">
        <f>Financing!I17</f>
        <v>0</v>
      </c>
      <c r="J9" s="2">
        <f>Financing!J17</f>
        <v>0</v>
      </c>
      <c r="K9" s="2">
        <f>Financing!K17</f>
        <v>0</v>
      </c>
      <c r="L9" s="2">
        <f>Financing!L17</f>
        <v>0</v>
      </c>
      <c r="M9" s="2">
        <f>Financing!M17</f>
        <v>0</v>
      </c>
      <c r="N9" s="2">
        <f>Financing!N17</f>
        <v>0</v>
      </c>
      <c r="O9" s="2">
        <f>Financing!O17</f>
        <v>0</v>
      </c>
      <c r="P9" s="2">
        <f>Financing!P17</f>
        <v>0</v>
      </c>
      <c r="Q9" s="2">
        <f>Financing!Q17</f>
        <v>0</v>
      </c>
      <c r="R9" s="2">
        <f>Financing!R17</f>
        <v>0</v>
      </c>
    </row>
    <row r="11" spans="1:18" ht="15" customHeight="1" x14ac:dyDescent="0.3">
      <c r="A11" s="7" t="s">
        <v>218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5" customHeight="1" x14ac:dyDescent="0.3">
      <c r="A12" s="5" t="s">
        <v>219</v>
      </c>
      <c r="B12" s="13">
        <f>Financials!B6-Financials!B11+Financials!B21+Financials!B19</f>
        <v>-44.705882352941202</v>
      </c>
      <c r="C12" s="13">
        <f>Financials!C6-Financials!C11+Financials!C21+Financials!C19</f>
        <v>-5.8823529411764701</v>
      </c>
      <c r="D12" s="13">
        <f>Financials!D6-Financials!D11+Financials!D21+Financials!D19</f>
        <v>10.487696321776124</v>
      </c>
      <c r="E12" s="13">
        <f>Financials!E6-Financials!E11+Financials!E21+Financials!E19</f>
        <v>16.236535193111546</v>
      </c>
      <c r="F12" s="13">
        <f>Financials!F6-Financials!F11+Financials!F21+Financials!F19</f>
        <v>24.992041886169442</v>
      </c>
      <c r="G12" s="13">
        <f>Financials!G6-Financials!G11+Financials!G21+Financials!G19</f>
        <v>27.312438014775481</v>
      </c>
      <c r="H12" s="13">
        <f>Financials!H6-Financials!H11+Financials!H21+Financials!H19</f>
        <v>28.472706070584174</v>
      </c>
      <c r="I12" s="13">
        <f>Financials!I6-Financials!I11+Financials!I21+Financials!I19</f>
        <v>27.223771798467379</v>
      </c>
      <c r="J12" s="13">
        <f>Financials!J6-Financials!J11+Financials!J21+Financials!J19</f>
        <v>28.455254080463781</v>
      </c>
      <c r="K12" s="13">
        <f>Financials!K6-Financials!K11+Financials!K21+Financials!K19</f>
        <v>28.90388849146774</v>
      </c>
      <c r="L12" s="13">
        <f>Financials!L6-Financials!L11+Financials!L21+Financials!L19</f>
        <v>30.210414876882488</v>
      </c>
      <c r="M12" s="13">
        <f>Financials!M6-Financials!M11+Financials!M21+Financials!M19</f>
        <v>30.677343535306321</v>
      </c>
      <c r="N12" s="13">
        <f>Financials!N6-Financials!N11+Financials!N21+Financials!N19</f>
        <v>32.062872423422426</v>
      </c>
      <c r="O12" s="13">
        <f>Financials!O6-Financials!O11+Financials!O21+Financials!O19</f>
        <v>32.547910379722339</v>
      </c>
      <c r="P12" s="13">
        <f>Financials!P6-Financials!P11+Financials!P21+Financials!P19</f>
        <v>34.016520188612212</v>
      </c>
      <c r="Q12" s="13">
        <f>Financials!Q6-Financials!Q11+Financials!Q21+Financials!Q19</f>
        <v>34.51929612280361</v>
      </c>
      <c r="R12" s="13">
        <f>Financials!R6-Financials!R11+Financials!R21+Financials!R19</f>
        <v>36.075173938369524</v>
      </c>
    </row>
    <row r="13" spans="1:18" ht="15" customHeight="1" x14ac:dyDescent="0.3">
      <c r="A13" s="5" t="s">
        <v>220</v>
      </c>
      <c r="B13" s="13">
        <f>B12-Financials!B9+Financing!B10-Financing!B12</f>
        <v>-17.882352941176482</v>
      </c>
      <c r="C13" s="13">
        <f>C12-Financials!C9+Financing!C10-Financing!C12</f>
        <v>-2.3529411764705883</v>
      </c>
      <c r="D13" s="13">
        <f>D12-Financials!D9+Financing!D10-Financing!D12</f>
        <v>-3.8202977958708937</v>
      </c>
      <c r="E13" s="13">
        <f>E12-Financials!E9+Financing!E10-Financing!E12</f>
        <v>2.0311862911508136</v>
      </c>
      <c r="F13" s="13">
        <f>F12-Financials!F9+Financing!F10-Financing!F12</f>
        <v>6.4286144108085281</v>
      </c>
      <c r="G13" s="13">
        <f>G12-Financials!G9+Financing!G10-Financing!G12</f>
        <v>27.312438014775481</v>
      </c>
      <c r="H13" s="13">
        <f>H12-Financials!H9+Financing!H10-Financing!H12</f>
        <v>28.472706070584174</v>
      </c>
      <c r="I13" s="13">
        <f>I12-Financials!I9+Financing!I10-Financing!I12</f>
        <v>27.223771798467379</v>
      </c>
      <c r="J13" s="13">
        <f>J12-Financials!J9+Financing!J10-Financing!J12</f>
        <v>28.455254080463781</v>
      </c>
      <c r="K13" s="13">
        <f>K12-Financials!K9+Financing!K10-Financing!K12</f>
        <v>28.90388849146774</v>
      </c>
      <c r="L13" s="13">
        <f>L12-Financials!L9+Financing!L10-Financing!L12</f>
        <v>30.210414876882488</v>
      </c>
      <c r="M13" s="13">
        <f>M12-Financials!M9+Financing!M10-Financing!M12</f>
        <v>30.677343535306321</v>
      </c>
      <c r="N13" s="13">
        <f>N12-Financials!N9+Financing!N10-Financing!N12</f>
        <v>32.062872423422426</v>
      </c>
      <c r="O13" s="13">
        <f>O12-Financials!O9+Financing!O10-Financing!O12</f>
        <v>32.547910379722339</v>
      </c>
      <c r="P13" s="13">
        <f>P12-Financials!P9+Financing!P10-Financing!P12</f>
        <v>34.016520188612212</v>
      </c>
      <c r="Q13" s="13">
        <f>Q12-Financials!Q9+Financing!Q10-Financing!Q12</f>
        <v>34.51929612280361</v>
      </c>
      <c r="R13" s="13">
        <f>R12-Financials!R9+Financing!R10-Financing!R12</f>
        <v>36.075173938369524</v>
      </c>
    </row>
    <row r="15" spans="1:18" ht="15" customHeight="1" x14ac:dyDescent="0.3">
      <c r="A15" s="7" t="s">
        <v>221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5" customHeight="1" x14ac:dyDescent="0.3">
      <c r="A16" s="5" t="s">
        <v>222</v>
      </c>
      <c r="B16" s="14">
        <f>IRR(B12:R12)</f>
        <v>0.32336938275949412</v>
      </c>
    </row>
    <row r="17" spans="1:2" ht="15" customHeight="1" x14ac:dyDescent="0.3">
      <c r="A17" s="5" t="s">
        <v>223</v>
      </c>
      <c r="B17" s="14">
        <f>IRR(B13:R13)</f>
        <v>0.39158006197901796</v>
      </c>
    </row>
    <row r="18" spans="1:2" ht="15" customHeight="1" x14ac:dyDescent="0.3">
      <c r="A18" s="5" t="s">
        <v>310</v>
      </c>
      <c r="B18" s="11">
        <f>NPV(0.1,B12:R12)</f>
        <v>115.93865813480181</v>
      </c>
    </row>
    <row r="19" spans="1:2" ht="15" customHeight="1" x14ac:dyDescent="0.3">
      <c r="A19" s="5" t="s">
        <v>311</v>
      </c>
      <c r="B19" s="11">
        <f>NPV(0.15,B13:R13)</f>
        <v>64.421337831323243</v>
      </c>
    </row>
    <row r="20" spans="1:2" ht="15" customHeight="1" x14ac:dyDescent="0.3">
      <c r="A20" s="5" t="s">
        <v>224</v>
      </c>
      <c r="B20" s="2">
        <f>MIN(IF(Financing!D17&gt;0,Financing!D17,9999),IF(Financing!E17&gt;0,Financing!E17,9999),IF(Financing!F17&gt;0,Financing!F17,9999),IF(Financing!G17&gt;0,Financing!G17,9999),IF(Financing!H17&gt;0,Financing!H17,9999),IF(Financing!I17&gt;0,Financing!I17,9999),IF(Financing!J17&gt;0,Financing!J17,9999),IF(Financing!K17&gt;0,Financing!K17,9999),IF(Financing!L17&gt;0,Financing!L17,9999),IF(Financing!M17&gt;0,Financing!M17,9999),IF(Financing!N17&gt;0,Financing!N17,9999),IF(Financing!O17&gt;0,Financing!O17,9999),IF(Financing!P17&gt;0,Financing!P17,9999),IF(Financing!Q17&gt;0,Financing!Q17,9999),IF(Financing!R17&gt;0,Financing!R17,9999))</f>
        <v>1.2</v>
      </c>
    </row>
    <row r="21" spans="1:2" ht="15" customHeight="1" x14ac:dyDescent="0.3">
      <c r="A21" s="5" t="s">
        <v>225</v>
      </c>
      <c r="B21" s="2">
        <f>AVERAGEIF(Financing!D17:R17,"&gt;0")</f>
        <v>1.3916687622763988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Assumptions</vt:lpstr>
      <vt:lpstr>Timeline</vt:lpstr>
      <vt:lpstr>Revenue</vt:lpstr>
      <vt:lpstr>OpEx</vt:lpstr>
      <vt:lpstr>Capex_Depr</vt:lpstr>
      <vt:lpstr>Financing</vt:lpstr>
      <vt:lpstr>Working_Capital</vt:lpstr>
      <vt:lpstr>Financials</vt:lpstr>
      <vt:lpstr>Ratios_Valuation</vt:lpstr>
      <vt:lpstr>Scenarios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Anurag Kushwaha</cp:lastModifiedBy>
  <cp:revision>0</cp:revision>
  <dcterms:created xsi:type="dcterms:W3CDTF">2026-04-23T11:55:43Z</dcterms:created>
  <dcterms:modified xsi:type="dcterms:W3CDTF">2026-05-31T16:25:55Z</dcterms:modified>
  <dc:language>en-US</dc:language>
</cp:coreProperties>
</file>